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2\Desktop\AÑO ESCOLAR 2021-2022\ESTRUCTURA DE COSTOS 2021-2022\ESTRUCTURA DE COSTO DEFINITIVA 2021-2022\"/>
    </mc:Choice>
  </mc:AlternateContent>
  <bookViews>
    <workbookView xWindow="0" yWindow="0" windowWidth="19200" windowHeight="12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C79" i="1" l="1"/>
  <c r="C87" i="1" l="1"/>
  <c r="C20" i="1" l="1"/>
  <c r="C122" i="1" l="1"/>
  <c r="C100" i="1"/>
  <c r="C57" i="1"/>
  <c r="C33" i="1"/>
  <c r="C12" i="1"/>
  <c r="H87" i="1" l="1"/>
  <c r="H20" i="1"/>
  <c r="C9" i="1" l="1"/>
  <c r="C8" i="1" l="1"/>
  <c r="C24" i="1"/>
  <c r="H126" i="1"/>
  <c r="H125" i="1"/>
  <c r="C29" i="1" l="1"/>
  <c r="C25" i="1"/>
  <c r="C22" i="1"/>
  <c r="C26" i="1"/>
  <c r="C28" i="1"/>
  <c r="C23" i="1"/>
  <c r="C27" i="1"/>
  <c r="C17" i="1" l="1"/>
  <c r="C91" i="1"/>
  <c r="C96" i="1" l="1"/>
  <c r="C95" i="1"/>
  <c r="C89" i="1"/>
  <c r="C92" i="1"/>
  <c r="C93" i="1"/>
  <c r="C90" i="1"/>
  <c r="C94" i="1"/>
  <c r="C51" i="1"/>
  <c r="C50" i="1"/>
  <c r="C46" i="1"/>
  <c r="C48" i="1"/>
  <c r="C44" i="1"/>
  <c r="C49" i="1"/>
  <c r="C45" i="1"/>
  <c r="C43" i="1"/>
  <c r="C84" i="1" l="1"/>
  <c r="H148" i="1"/>
  <c r="H138" i="1"/>
  <c r="H86" i="1"/>
  <c r="H77" i="1"/>
  <c r="H37" i="1"/>
  <c r="H38" i="1"/>
  <c r="H40" i="1"/>
  <c r="H42" i="1"/>
  <c r="H43" i="1"/>
  <c r="H44" i="1"/>
  <c r="H45" i="1"/>
  <c r="H46" i="1"/>
  <c r="H49" i="1"/>
  <c r="H50" i="1"/>
  <c r="H52" i="1"/>
  <c r="H53" i="1"/>
  <c r="H15" i="1"/>
  <c r="H16" i="1"/>
  <c r="H18" i="1"/>
  <c r="H21" i="1"/>
  <c r="H30" i="1"/>
  <c r="H31" i="1"/>
  <c r="H33" i="1"/>
  <c r="H108" i="1" l="1"/>
  <c r="H51" i="1"/>
  <c r="H48" i="1"/>
  <c r="C47" i="1"/>
  <c r="H19" i="1"/>
  <c r="H47" i="1" l="1"/>
  <c r="H63" i="1"/>
  <c r="H41" i="1"/>
  <c r="H172" i="1"/>
  <c r="H171" i="1"/>
  <c r="H170" i="1"/>
  <c r="H169" i="1"/>
  <c r="C168" i="1"/>
  <c r="H167" i="1"/>
  <c r="H166" i="1"/>
  <c r="H165" i="1"/>
  <c r="H164" i="1"/>
  <c r="C163" i="1"/>
  <c r="C175" i="1" s="1"/>
  <c r="H160" i="1"/>
  <c r="H159" i="1"/>
  <c r="H149" i="1"/>
  <c r="H147" i="1"/>
  <c r="B146" i="1"/>
  <c r="H162" i="1" s="1"/>
  <c r="H145" i="1"/>
  <c r="H144" i="1"/>
  <c r="H143" i="1"/>
  <c r="C140" i="1"/>
  <c r="H139" i="1"/>
  <c r="H161" i="1"/>
  <c r="H137" i="1"/>
  <c r="H136" i="1"/>
  <c r="H135" i="1"/>
  <c r="H134" i="1"/>
  <c r="H133" i="1"/>
  <c r="H132" i="1"/>
  <c r="H131" i="1"/>
  <c r="H130" i="1"/>
  <c r="H129" i="1"/>
  <c r="H128" i="1"/>
  <c r="H127" i="1"/>
  <c r="H124" i="1"/>
  <c r="H123" i="1"/>
  <c r="H122" i="1"/>
  <c r="H120" i="1"/>
  <c r="H119" i="1"/>
  <c r="H109" i="1"/>
  <c r="H107" i="1"/>
  <c r="B106" i="1"/>
  <c r="H121" i="1" s="1"/>
  <c r="H105" i="1"/>
  <c r="H104" i="1"/>
  <c r="H103" i="1"/>
  <c r="C118" i="1"/>
  <c r="H98" i="1"/>
  <c r="H97" i="1"/>
  <c r="H88" i="1"/>
  <c r="H85" i="1"/>
  <c r="B84" i="1"/>
  <c r="H99" i="1" s="1"/>
  <c r="H83" i="1"/>
  <c r="H82" i="1"/>
  <c r="H81" i="1"/>
  <c r="H90" i="1"/>
  <c r="H76" i="1"/>
  <c r="H75" i="1"/>
  <c r="H64" i="1"/>
  <c r="H62" i="1"/>
  <c r="H78" i="1"/>
  <c r="H60" i="1"/>
  <c r="H59" i="1"/>
  <c r="H58" i="1"/>
  <c r="B39" i="1"/>
  <c r="C54" i="1" s="1"/>
  <c r="H54" i="1" s="1"/>
  <c r="H36" i="1"/>
  <c r="B17" i="1"/>
  <c r="H32" i="1" s="1"/>
  <c r="H14" i="1"/>
  <c r="H10" i="1"/>
  <c r="C39" i="1" l="1"/>
  <c r="C55" i="1"/>
  <c r="C177" i="1"/>
  <c r="H168" i="1"/>
  <c r="C173" i="1"/>
  <c r="C157" i="1"/>
  <c r="H157" i="1" s="1"/>
  <c r="C158" i="1"/>
  <c r="C117" i="1"/>
  <c r="H117" i="1" s="1"/>
  <c r="C72" i="1"/>
  <c r="H72" i="1" s="1"/>
  <c r="C65" i="1"/>
  <c r="C73" i="1"/>
  <c r="H73" i="1" s="1"/>
  <c r="C68" i="1"/>
  <c r="H68" i="1" s="1"/>
  <c r="C70" i="1"/>
  <c r="H70" i="1" s="1"/>
  <c r="C66" i="1"/>
  <c r="H66" i="1" s="1"/>
  <c r="C74" i="1"/>
  <c r="H74" i="1" s="1"/>
  <c r="C69" i="1"/>
  <c r="H69" i="1" s="1"/>
  <c r="C67" i="1"/>
  <c r="H67" i="1" s="1"/>
  <c r="C71" i="1"/>
  <c r="H71" i="1" s="1"/>
  <c r="H140" i="1"/>
  <c r="C153" i="1"/>
  <c r="H153" i="1" s="1"/>
  <c r="C155" i="1"/>
  <c r="H155" i="1" s="1"/>
  <c r="C152" i="1"/>
  <c r="H152" i="1" s="1"/>
  <c r="H158" i="1"/>
  <c r="C150" i="1"/>
  <c r="C156" i="1"/>
  <c r="H156" i="1" s="1"/>
  <c r="C151" i="1"/>
  <c r="H151" i="1" s="1"/>
  <c r="C113" i="1"/>
  <c r="H113" i="1" s="1"/>
  <c r="H118" i="1"/>
  <c r="C116" i="1"/>
  <c r="H116" i="1" s="1"/>
  <c r="C115" i="1"/>
  <c r="H115" i="1" s="1"/>
  <c r="C110" i="1"/>
  <c r="C111" i="1"/>
  <c r="H111" i="1" s="1"/>
  <c r="C114" i="1"/>
  <c r="H114" i="1" s="1"/>
  <c r="C112" i="1"/>
  <c r="H112" i="1" s="1"/>
  <c r="H22" i="1"/>
  <c r="H29" i="1"/>
  <c r="H9" i="1"/>
  <c r="H28" i="1"/>
  <c r="H27" i="1"/>
  <c r="H26" i="1"/>
  <c r="H25" i="1"/>
  <c r="H24" i="1"/>
  <c r="H23" i="1"/>
  <c r="H163" i="1"/>
  <c r="H91" i="1"/>
  <c r="H94" i="1"/>
  <c r="H57" i="1"/>
  <c r="H95" i="1"/>
  <c r="H79" i="1"/>
  <c r="H96" i="1"/>
  <c r="H93" i="1"/>
  <c r="H100" i="1"/>
  <c r="C154" i="1"/>
  <c r="H154" i="1" s="1"/>
  <c r="H12" i="1"/>
  <c r="H175" i="1" l="1"/>
  <c r="C61" i="1"/>
  <c r="C106" i="1"/>
  <c r="H106" i="1" s="1"/>
  <c r="C146" i="1"/>
  <c r="C174" i="1" s="1"/>
  <c r="H92" i="1"/>
  <c r="H84" i="1"/>
  <c r="H39" i="1"/>
  <c r="H150" i="1"/>
  <c r="H110" i="1"/>
  <c r="H89" i="1"/>
  <c r="H65" i="1"/>
  <c r="C180" i="1" l="1"/>
  <c r="C176" i="1"/>
  <c r="C178" i="1"/>
  <c r="C56" i="1"/>
  <c r="H146" i="1"/>
  <c r="H173" i="1"/>
  <c r="H61" i="1"/>
  <c r="H56" i="1" l="1"/>
  <c r="H55" i="1"/>
  <c r="H17" i="1" l="1"/>
  <c r="C11" i="1"/>
  <c r="H11" i="1" l="1"/>
  <c r="H174" i="1"/>
  <c r="C181" i="1" l="1"/>
  <c r="C182" i="1" s="1"/>
  <c r="H176" i="1"/>
  <c r="H8" i="1"/>
  <c r="H177" i="1" l="1"/>
  <c r="H178" i="1"/>
  <c r="C183" i="1"/>
  <c r="C184" i="1" s="1"/>
  <c r="E184" i="1" s="1"/>
  <c r="C179" i="1"/>
</calcChain>
</file>

<file path=xl/comments1.xml><?xml version="1.0" encoding="utf-8"?>
<comments xmlns="http://schemas.openxmlformats.org/spreadsheetml/2006/main">
  <authors>
    <author>ana.carlosp</author>
    <author>ana.jenifferb</author>
    <author>Isabel Carrizo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Partidas Contables a reflejar: 
*Combustibles y Lubricantes
*Material Instruccional
*Libros, revistas y periodicos
*Alimentos para animales
*Material Agropecuario
*Repuestos para Equipos y Accesorios
*Artículos de Ferretería</t>
        </r>
      </text>
    </comment>
    <comment ref="A15" authorId="1" shapeId="0">
      <text>
        <r>
          <rPr>
            <b/>
            <sz val="9"/>
            <color indexed="81"/>
            <rFont val="Tahoma"/>
            <family val="2"/>
          </rPr>
          <t>En cuanto a las Primas, son todas aquellas reflejadas en en la Planilla de Anexo NP-1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*Contribucion dia de las Madres
*Bono Inicio Año Escolar
*Bono Inicio de año</t>
        </r>
      </text>
    </comment>
    <comment ref="A37" authorId="1" shapeId="0">
      <text>
        <r>
          <rPr>
            <b/>
            <sz val="9"/>
            <color indexed="81"/>
            <rFont val="Tahoma"/>
            <family val="2"/>
          </rPr>
          <t>En cuanto a las Primas son todas aquellas refelejadas en la Panilla de Anexo NP2-A</t>
        </r>
      </text>
    </comment>
    <comment ref="A40" authorId="1" shapeId="0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de Uniforme *Contribución Navideña
*Contribucion dia de las Madres
*Bono Inicio Año Escolar
*Bono Inicio de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2" authorId="1" shapeId="0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Navideña
*Contribucion dia de las Madres
*Bono Inicio Año Escolar
*Bono Inicio de año</t>
        </r>
      </text>
    </comment>
    <comment ref="A77" authorId="1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se tomará un 70% del total de la facturación de la empresa de vigilancia privada</t>
        </r>
      </text>
    </comment>
    <comment ref="A82" authorId="1" shapeId="0">
      <text>
        <r>
          <rPr>
            <b/>
            <sz val="9"/>
            <color indexed="81"/>
            <rFont val="Tahoma"/>
            <family val="2"/>
          </rPr>
          <t>En cuanto a las Primas, son todas aquellas reflejadas en en la Planilla de Anexo NP-1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5" authorId="1" shapeId="0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
*Contribucion dia de las Madres
*Bono Inicio Año Escolar
*Bono Inicio de año</t>
        </r>
      </text>
    </comment>
    <comment ref="A104" authorId="1" shapeId="0">
      <text>
        <r>
          <rPr>
            <b/>
            <sz val="9"/>
            <color indexed="81"/>
            <rFont val="Tahoma"/>
            <family val="2"/>
          </rPr>
          <t>En cuanto a las Primas son todas aquellas reflejadas en la Panilla de Anexo NP2-A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4" authorId="2" shapeId="0">
      <text>
        <r>
          <rPr>
            <b/>
            <sz val="9"/>
            <color indexed="81"/>
            <rFont val="Tahoma"/>
            <family val="2"/>
          </rPr>
          <t>Isabel Carrizo: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7" authorId="1" shapeId="0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
*Contribucion dia de las Madres
*Bono Inicio Año Escolar
*Bono Inicio de año</t>
        </r>
      </text>
    </comment>
    <comment ref="A138" authorId="1" shapeId="0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Se tomará el resto (30%) de la facturacaión de la empresa privada de vigilancia </t>
        </r>
      </text>
    </comment>
    <comment ref="A147" authorId="1" shapeId="0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de Uniforme *Contribución Navideña
*Contribucion dia de las Madres
*Bono Inicio Año Escolar
*Bono Inicio de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5" authorId="0" shapeId="0">
      <text>
        <r>
          <rPr>
            <b/>
            <sz val="9"/>
            <color indexed="81"/>
            <rFont val="Tahoma"/>
            <family val="2"/>
          </rPr>
          <t>Partidas a reflejar:
*Material de Uso Doméstico y Residencial
*Alimentos</t>
        </r>
      </text>
    </comment>
    <comment ref="A169" authorId="0" shapeId="0">
      <text>
        <r>
          <rPr>
            <b/>
            <sz val="9"/>
            <color indexed="81"/>
            <rFont val="Tahoma"/>
            <family val="2"/>
          </rPr>
          <t>Partidas a reflejar:
*Condecoraciones y ofrendas
*Relaciones Sociales</t>
        </r>
      </text>
    </comment>
  </commentList>
</comments>
</file>

<file path=xl/sharedStrings.xml><?xml version="1.0" encoding="utf-8"?>
<sst xmlns="http://schemas.openxmlformats.org/spreadsheetml/2006/main" count="191" uniqueCount="109">
  <si>
    <t>ASOCIACIÓN VENEZOLANA DE EDUCACIÓN CATÓLICA</t>
  </si>
  <si>
    <t>MODELO DE "ESTRUCTURA DE COSTOS Y GASTOS" - PLANTELES AFILIADOS PARTICIPANTES DEL CONVENIO MPPE-AVEC</t>
  </si>
  <si>
    <t>NÚMERO DE ESTUDIANTES POR NIVELES</t>
  </si>
  <si>
    <t>TOTAL PERSONAS</t>
  </si>
  <si>
    <t>COSTO TOTAL (Saldos según libros y balances)</t>
  </si>
  <si>
    <t>Nivel Inicial</t>
  </si>
  <si>
    <t>Nivel Primaria</t>
  </si>
  <si>
    <t>Ciclo Básico</t>
  </si>
  <si>
    <t>Ciclo Diversificado</t>
  </si>
  <si>
    <t>COSTO UNITARIO GENERAL (Saldos según libros y balances)</t>
  </si>
  <si>
    <t>COSTOS DIRECTOS</t>
  </si>
  <si>
    <t>MATERIA PRIMA, INSUMOS Y MATERIALES</t>
  </si>
  <si>
    <t xml:space="preserve">      - Materiales y Suministros de Oficina</t>
  </si>
  <si>
    <t xml:space="preserve">      - Materiales y Suministros de Limpieza</t>
  </si>
  <si>
    <t>MANO DE OBRA DIRECTA</t>
  </si>
  <si>
    <t xml:space="preserve">SUELDOS Y SALARIOS PERSONAL DOCENTE </t>
  </si>
  <si>
    <t>COORDINADOR / ORIENTADOR / PSICOPEDAGOGO / PROFESOR / MAESTRO</t>
  </si>
  <si>
    <t xml:space="preserve">      - Sueldo Base</t>
  </si>
  <si>
    <t xml:space="preserve">      - Primas y Compensaciones Salariales</t>
  </si>
  <si>
    <t xml:space="preserve">      - Bono Nocturno</t>
  </si>
  <si>
    <t xml:space="preserve">OTROS BENEFICIOS LABORALES PERSONAL DOCENTE </t>
  </si>
  <si>
    <t xml:space="preserve">      - Compensaciones No Salariales</t>
  </si>
  <si>
    <t xml:space="preserve">      - Suplencias</t>
  </si>
  <si>
    <t xml:space="preserve">      - Bono Vacacional </t>
  </si>
  <si>
    <t xml:space="preserve">      - Ajuste Salarial (28 días)</t>
  </si>
  <si>
    <t xml:space="preserve">      - Aguinaldos</t>
  </si>
  <si>
    <t xml:space="preserve">      - Aporte Patronal IVSS</t>
  </si>
  <si>
    <t xml:space="preserve">      - Aporte Patronal FAOV</t>
  </si>
  <si>
    <t xml:space="preserve">      - Aporte Patronal INCES</t>
  </si>
  <si>
    <t xml:space="preserve">      - Aporte de Prestaciones Sociales</t>
  </si>
  <si>
    <t xml:space="preserve">      - Días Adicionales de Prestaciones Sociales</t>
  </si>
  <si>
    <t xml:space="preserve">      - Beneficio de Alimentación</t>
  </si>
  <si>
    <t xml:space="preserve">      - Beneficio de Guardería</t>
  </si>
  <si>
    <t xml:space="preserve">      - LOPCYMAT (Evaluaciones prevacacionales y posvacacionales)</t>
  </si>
  <si>
    <t>SUELDOS Y SALARIOS PERSONAL EN AULA (SIN TITULO DOCENTE)</t>
  </si>
  <si>
    <t>AUXILIAR DE PREESCOLAR / DE BRAILE / DE TALLER</t>
  </si>
  <si>
    <t>AUXILIAR DE AULA / INSTRUCTORES</t>
  </si>
  <si>
    <t xml:space="preserve">OTROS BENEFICIOS LABORALES PERSONAL EN AULA </t>
  </si>
  <si>
    <t xml:space="preserve">      - Bono Vacacional</t>
  </si>
  <si>
    <t>COSTOS INDIRECTOS</t>
  </si>
  <si>
    <t>MANO DE OBRA INDIRECTA</t>
  </si>
  <si>
    <t xml:space="preserve">SUELDOS Y SALARIOS OBREROS Y OBRERAS  </t>
  </si>
  <si>
    <t xml:space="preserve">      - Primas y Compensaciones/ Horas Extras y Días Feriados</t>
  </si>
  <si>
    <t xml:space="preserve">OTROS BENEFICIOS LABORALES OBREROS Y OBRERAS </t>
  </si>
  <si>
    <t xml:space="preserve">SUELDOS Y SALARIOS DIRECTIVOS Y DIRECTIVAS </t>
  </si>
  <si>
    <t>DIRECTOR (A) / SUBDIRECTOR (A)</t>
  </si>
  <si>
    <t xml:space="preserve">OTROS BENEFICIOS LABORALES DIRECTIVOS Y DIRECTIVAS </t>
  </si>
  <si>
    <t>SUELDOS Y SALARIOS PERSONAL BIENESTAR ESTUDIANTIL</t>
  </si>
  <si>
    <t>PSICÓLOGO / TRABAJADOR SOCIAL / AUXILIAR DE BIBLIOTECA</t>
  </si>
  <si>
    <t>TERAPISTA / FISIOTERAPISTA / FONIATRA / INTERNISTA</t>
  </si>
  <si>
    <t xml:space="preserve">      - Primas y Compensaciones</t>
  </si>
  <si>
    <t>OTROS BENEFICIOS LABORALES PERSONAL BIENESTAR ESTUDIANTIL</t>
  </si>
  <si>
    <t>OTROS COSTOS INDIRECTOS (ASOCIADOS)</t>
  </si>
  <si>
    <t xml:space="preserve">      - Alquileres de Equipos </t>
  </si>
  <si>
    <t xml:space="preserve">      - Servicios Básicos (Electricidad, Agua, Teléfono, Internet y Gas)</t>
  </si>
  <si>
    <r>
      <t xml:space="preserve">      - Impuesto al Valor Agregado (IVA) </t>
    </r>
    <r>
      <rPr>
        <b/>
        <sz val="11"/>
        <rFont val="Calibri"/>
        <family val="2"/>
      </rPr>
      <t>PA Nº 003/2014 Art. 2 Núm. 15 SUNDDE</t>
    </r>
  </si>
  <si>
    <t xml:space="preserve">      - Imprenta y Reproducción</t>
  </si>
  <si>
    <t xml:space="preserve">      - Capacitación y Adiestramiento</t>
  </si>
  <si>
    <t xml:space="preserve">      - Servicio de Procesamiento de Datos</t>
  </si>
  <si>
    <t xml:space="preserve">      - Conservación y Reparación de Maquinaria y Equipos</t>
  </si>
  <si>
    <t xml:space="preserve">      - Conservación y Reparación de Inmuebles</t>
  </si>
  <si>
    <t xml:space="preserve">      - Gastos de Depreciación </t>
  </si>
  <si>
    <t xml:space="preserve">      - Servicios de Transporte</t>
  </si>
  <si>
    <t xml:space="preserve">      - Primas, Seguros y Comisiones</t>
  </si>
  <si>
    <t xml:space="preserve">      - Honorarios Profesionales</t>
  </si>
  <si>
    <r>
      <t xml:space="preserve">      - Otros Servicios  (</t>
    </r>
    <r>
      <rPr>
        <b/>
        <sz val="11"/>
        <rFont val="Calibri"/>
        <family val="2"/>
        <scheme val="minor"/>
      </rPr>
      <t>Especifique en Hoja Anexa</t>
    </r>
    <r>
      <rPr>
        <sz val="11"/>
        <rFont val="Calibri"/>
        <family val="2"/>
        <scheme val="minor"/>
      </rPr>
      <t>)</t>
    </r>
  </si>
  <si>
    <t xml:space="preserve">SUELDOS Y SALARIOS PERSONAL ADMINISTRATIVO </t>
  </si>
  <si>
    <t>ADMINISTRADOR / AUXILIAR ADMINISTRATIVO / SECRETARIA GENERAL</t>
  </si>
  <si>
    <t>SECRETARIA AUXILIAR / RECEPCIONISTA</t>
  </si>
  <si>
    <t xml:space="preserve">      - Primas</t>
  </si>
  <si>
    <t xml:space="preserve">OTROS BENEFICIOS LABORALES PERSONAL ADMINISTRATIVO </t>
  </si>
  <si>
    <t>GASTOS DE BIENESTAR ESTUDIANTIL</t>
  </si>
  <si>
    <t xml:space="preserve">      - Becas</t>
  </si>
  <si>
    <t xml:space="preserve">      - Comedor</t>
  </si>
  <si>
    <t xml:space="preserve">      - Servicios de Salud </t>
  </si>
  <si>
    <t xml:space="preserve">      - Otros (Especifique en Hoja Anexa)</t>
  </si>
  <si>
    <t>OTROS GASTOS (NO ASOCIADOS)</t>
  </si>
  <si>
    <t xml:space="preserve">      - Servicios de Relaciones Sociales</t>
  </si>
  <si>
    <t xml:space="preserve">      - Viáticos y Pasajes</t>
  </si>
  <si>
    <t xml:space="preserve">      - Cuota de Afiliación</t>
  </si>
  <si>
    <r>
      <t xml:space="preserve">      - Otros Gastos (</t>
    </r>
    <r>
      <rPr>
        <b/>
        <sz val="11"/>
        <rFont val="Calibri"/>
        <family val="2"/>
        <scheme val="minor"/>
      </rPr>
      <t>Especifique en Hoja Anexa</t>
    </r>
    <r>
      <rPr>
        <sz val="11"/>
        <rFont val="Calibri"/>
        <family val="2"/>
        <scheme val="minor"/>
      </rPr>
      <t>)</t>
    </r>
  </si>
  <si>
    <t xml:space="preserve">TOTAL GASTOS </t>
  </si>
  <si>
    <t>TOTAL GASTOS DE PERSONAL</t>
  </si>
  <si>
    <t>COSTO COMPLETO  DEL SERVICIO EDUCATIVO EN EL PERIODO DE ESTUDIO</t>
  </si>
  <si>
    <t xml:space="preserve">SUBVENCIÓN ANUAL </t>
  </si>
  <si>
    <t>COSTO ANUAL  DEL SERVICIO EDUCATIVO MENOS SUBVENCIÓN ANUAL</t>
  </si>
  <si>
    <t>COSTO MENSUAL DEL SERVICIO EDUCATIVO EN CENTROS PARTICIPANTES DEL CONVENIO</t>
  </si>
  <si>
    <t>COSTO MENSUAL DEL SERVICIO EDUCATIVO POR ESTUDIANTE EN CENTROS PARTICIPANTES DEL CONVENIO</t>
  </si>
  <si>
    <t>MONTO MENSUAL DEL SERVICIO EDUCATIVO POR ALUMNO APROBADO EN ASAMBLEA PARA CENTROS PARTICIPANTES DEL CONVENIO</t>
  </si>
  <si>
    <t>COSTO MENSUAL DEL SERVICIO EDUCATIVO POR ALUMNO SIN SUBVENCIÓN</t>
  </si>
  <si>
    <t xml:space="preserve">      - Personal de Vigilancia y Seguridad</t>
  </si>
  <si>
    <t xml:space="preserve">      - Vigilancia y Seguridad </t>
  </si>
  <si>
    <t xml:space="preserve">      - Complemento de Estabilización Económica</t>
  </si>
  <si>
    <t xml:space="preserve">      - Bonificación al Ingreso Familiar </t>
  </si>
  <si>
    <t xml:space="preserve">      - Prima de Evaluación de Desempeño</t>
  </si>
  <si>
    <t xml:space="preserve">      - Bonificación Útiles Escolares</t>
  </si>
  <si>
    <t xml:space="preserve">      - Bonificación de Uniformes</t>
  </si>
  <si>
    <t xml:space="preserve">      - Materiales e Insumos de  Educación</t>
  </si>
  <si>
    <t xml:space="preserve">     - Prima Aspectos Propios del Ejercicio Docente</t>
  </si>
  <si>
    <t xml:space="preserve">     - Aspectos Propios del Ejercicio Docente</t>
  </si>
  <si>
    <t>Tipo de Cambio de Ref. BCV</t>
  </si>
  <si>
    <t>Monto de Mensualidad en Divisas</t>
  </si>
  <si>
    <t>TOTAL MATERIALES Y  COSTOS  INDIRECTOS</t>
  </si>
  <si>
    <t xml:space="preserve">      - Aportes inmobiliarios y  Alquileres de Inmuebles</t>
  </si>
  <si>
    <t xml:space="preserve"> COSTOS  INDIRECTOS </t>
  </si>
  <si>
    <t>COSTO ANUAL  DEL SERVICIO EDUCATIVO EN EL PERIODO DE ESTUDIO</t>
  </si>
  <si>
    <t>Nombre del Centro:  U.E.COLEGIO PROVINCIAL BARINITAS</t>
  </si>
  <si>
    <t>Código AVEC:   060008</t>
  </si>
  <si>
    <t xml:space="preserve">      -Cuota de Afiliación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</si>
</sst>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10">
    <xf numFmtId="0" fontId="0" fillId="0" borderId="0" xfId="0"/>
    <xf numFmtId="0" fontId="0" fillId="0" borderId="0" xfId="0" applyFont="1"/>
    <xf numFmtId="4" fontId="3" fillId="0" borderId="0" xfId="0" applyNumberFormat="1" applyFont="1"/>
    <xf numFmtId="0" fontId="5" fillId="0" borderId="0" xfId="2" applyFont="1" applyAlignment="1">
      <alignment vertical="distributed"/>
    </xf>
    <xf numFmtId="4" fontId="5" fillId="0" borderId="0" xfId="2" applyNumberFormat="1" applyFont="1" applyAlignment="1">
      <alignment vertical="distributed"/>
    </xf>
    <xf numFmtId="0" fontId="7" fillId="0" borderId="0" xfId="2" applyFont="1" applyAlignment="1">
      <alignment horizontal="center"/>
    </xf>
    <xf numFmtId="0" fontId="8" fillId="0" borderId="4" xfId="0" applyFont="1" applyBorder="1" applyAlignment="1"/>
    <xf numFmtId="0" fontId="3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3" fontId="3" fillId="0" borderId="9" xfId="1" applyFont="1" applyBorder="1"/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3" fontId="3" fillId="0" borderId="11" xfId="1" applyFont="1" applyBorder="1"/>
    <xf numFmtId="0" fontId="11" fillId="0" borderId="13" xfId="2" applyFont="1" applyBorder="1"/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11" fillId="0" borderId="14" xfId="2" applyFont="1" applyBorder="1"/>
    <xf numFmtId="0" fontId="2" fillId="2" borderId="4" xfId="0" applyFont="1" applyFill="1" applyBorder="1" applyAlignment="1"/>
    <xf numFmtId="0" fontId="2" fillId="4" borderId="1" xfId="0" applyFont="1" applyFill="1" applyBorder="1" applyAlignment="1"/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2" fillId="0" borderId="1" xfId="2" applyFont="1" applyBorder="1" applyAlignment="1">
      <alignment horizontal="center"/>
    </xf>
    <xf numFmtId="43" fontId="3" fillId="3" borderId="11" xfId="1" applyFont="1" applyFill="1" applyBorder="1"/>
    <xf numFmtId="0" fontId="2" fillId="4" borderId="15" xfId="0" applyFont="1" applyFill="1" applyBorder="1" applyAlignment="1"/>
    <xf numFmtId="0" fontId="3" fillId="0" borderId="11" xfId="0" applyFont="1" applyFill="1" applyBorder="1" applyAlignment="1">
      <alignment horizontal="center" vertical="center"/>
    </xf>
    <xf numFmtId="0" fontId="13" fillId="4" borderId="14" xfId="0" applyFont="1" applyFill="1" applyBorder="1" applyAlignment="1"/>
    <xf numFmtId="0" fontId="12" fillId="0" borderId="16" xfId="2" applyFont="1" applyBorder="1" applyAlignment="1"/>
    <xf numFmtId="0" fontId="12" fillId="0" borderId="17" xfId="2" applyFont="1" applyBorder="1" applyAlignment="1"/>
    <xf numFmtId="0" fontId="3" fillId="3" borderId="11" xfId="0" applyFont="1" applyFill="1" applyBorder="1"/>
    <xf numFmtId="0" fontId="11" fillId="0" borderId="17" xfId="2" applyFont="1" applyBorder="1"/>
    <xf numFmtId="0" fontId="2" fillId="2" borderId="1" xfId="0" applyFont="1" applyFill="1" applyBorder="1" applyAlignment="1">
      <alignment horizontal="left"/>
    </xf>
    <xf numFmtId="0" fontId="11" fillId="0" borderId="15" xfId="2" applyFont="1" applyBorder="1"/>
    <xf numFmtId="0" fontId="2" fillId="6" borderId="1" xfId="3" applyFont="1" applyFill="1" applyBorder="1" applyAlignment="1"/>
    <xf numFmtId="0" fontId="12" fillId="0" borderId="1" xfId="2" applyFont="1" applyBorder="1" applyAlignment="1"/>
    <xf numFmtId="0" fontId="2" fillId="7" borderId="1" xfId="3" applyFont="1" applyFill="1" applyBorder="1" applyAlignment="1"/>
    <xf numFmtId="0" fontId="12" fillId="0" borderId="8" xfId="2" applyFont="1" applyBorder="1" applyAlignment="1"/>
    <xf numFmtId="0" fontId="11" fillId="0" borderId="17" xfId="3" applyFont="1" applyBorder="1"/>
    <xf numFmtId="0" fontId="11" fillId="0" borderId="13" xfId="3" applyFont="1" applyBorder="1"/>
    <xf numFmtId="0" fontId="11" fillId="0" borderId="14" xfId="3" applyFont="1" applyBorder="1"/>
    <xf numFmtId="0" fontId="11" fillId="8" borderId="13" xfId="2" applyFont="1" applyFill="1" applyBorder="1"/>
    <xf numFmtId="0" fontId="15" fillId="5" borderId="19" xfId="2" applyFont="1" applyFill="1" applyBorder="1" applyAlignment="1"/>
    <xf numFmtId="0" fontId="12" fillId="9" borderId="1" xfId="2" applyFont="1" applyFill="1" applyBorder="1" applyAlignment="1"/>
    <xf numFmtId="0" fontId="13" fillId="10" borderId="16" xfId="2" applyFont="1" applyFill="1" applyBorder="1" applyAlignment="1"/>
    <xf numFmtId="43" fontId="3" fillId="0" borderId="21" xfId="1" applyFont="1" applyBorder="1"/>
    <xf numFmtId="0" fontId="13" fillId="10" borderId="13" xfId="2" applyFont="1" applyFill="1" applyBorder="1" applyAlignment="1"/>
    <xf numFmtId="0" fontId="13" fillId="0" borderId="15" xfId="2" applyFont="1" applyFill="1" applyBorder="1" applyAlignment="1"/>
    <xf numFmtId="0" fontId="0" fillId="3" borderId="21" xfId="0" applyFont="1" applyFill="1" applyBorder="1" applyAlignment="1">
      <alignment horizontal="center" vertical="center"/>
    </xf>
    <xf numFmtId="0" fontId="13" fillId="10" borderId="0" xfId="2" applyFont="1" applyFill="1" applyBorder="1" applyAlignment="1"/>
    <xf numFmtId="0" fontId="13" fillId="10" borderId="15" xfId="2" applyFont="1" applyFill="1" applyBorder="1" applyAlignment="1"/>
    <xf numFmtId="43" fontId="0" fillId="0" borderId="11" xfId="0" applyNumberFormat="1" applyFont="1" applyBorder="1"/>
    <xf numFmtId="0" fontId="13" fillId="5" borderId="4" xfId="2" applyFont="1" applyFill="1" applyBorder="1" applyAlignment="1"/>
    <xf numFmtId="43" fontId="3" fillId="0" borderId="22" xfId="1" applyNumberFormat="1" applyFont="1" applyBorder="1"/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3" fontId="3" fillId="0" borderId="20" xfId="1" applyFont="1" applyBorder="1"/>
    <xf numFmtId="10" fontId="13" fillId="0" borderId="19" xfId="3" applyNumberFormat="1" applyFont="1" applyFill="1" applyBorder="1" applyAlignment="1">
      <alignment wrapText="1"/>
    </xf>
    <xf numFmtId="4" fontId="13" fillId="3" borderId="9" xfId="3" applyNumberFormat="1" applyFont="1" applyFill="1" applyBorder="1"/>
    <xf numFmtId="0" fontId="0" fillId="0" borderId="0" xfId="0" applyFont="1" applyBorder="1"/>
    <xf numFmtId="4" fontId="3" fillId="0" borderId="0" xfId="0" applyNumberFormat="1" applyFont="1" applyBorder="1"/>
    <xf numFmtId="10" fontId="13" fillId="5" borderId="13" xfId="3" applyNumberFormat="1" applyFont="1" applyFill="1" applyBorder="1" applyAlignment="1">
      <alignment wrapText="1"/>
    </xf>
    <xf numFmtId="10" fontId="13" fillId="3" borderId="11" xfId="3" applyNumberFormat="1" applyFont="1" applyFill="1" applyBorder="1"/>
    <xf numFmtId="10" fontId="13" fillId="0" borderId="0" xfId="3" applyNumberFormat="1" applyFont="1" applyBorder="1"/>
    <xf numFmtId="0" fontId="16" fillId="0" borderId="16" xfId="2" applyFont="1" applyBorder="1"/>
    <xf numFmtId="0" fontId="16" fillId="0" borderId="0" xfId="2" applyFont="1" applyBorder="1"/>
    <xf numFmtId="0" fontId="11" fillId="8" borderId="13" xfId="3" applyFont="1" applyFill="1" applyBorder="1"/>
    <xf numFmtId="43" fontId="3" fillId="0" borderId="12" xfId="1" applyNumberFormat="1" applyFont="1" applyBorder="1" applyProtection="1"/>
    <xf numFmtId="43" fontId="0" fillId="0" borderId="12" xfId="1" applyNumberFormat="1" applyFont="1" applyBorder="1" applyProtection="1">
      <protection locked="0"/>
    </xf>
    <xf numFmtId="43" fontId="3" fillId="0" borderId="12" xfId="1" applyNumberFormat="1" applyFont="1" applyBorder="1"/>
    <xf numFmtId="43" fontId="3" fillId="5" borderId="12" xfId="1" applyNumberFormat="1" applyFont="1" applyFill="1" applyBorder="1"/>
    <xf numFmtId="43" fontId="0" fillId="3" borderId="12" xfId="1" applyNumberFormat="1" applyFont="1" applyFill="1" applyBorder="1"/>
    <xf numFmtId="43" fontId="3" fillId="5" borderId="12" xfId="1" applyNumberFormat="1" applyFont="1" applyFill="1" applyBorder="1" applyProtection="1"/>
    <xf numFmtId="43" fontId="0" fillId="0" borderId="12" xfId="1" applyNumberFormat="1" applyFont="1" applyBorder="1" applyProtection="1"/>
    <xf numFmtId="43" fontId="3" fillId="3" borderId="12" xfId="1" applyNumberFormat="1" applyFont="1" applyFill="1" applyBorder="1"/>
    <xf numFmtId="43" fontId="3" fillId="3" borderId="12" xfId="0" applyNumberFormat="1" applyFont="1" applyFill="1" applyBorder="1"/>
    <xf numFmtId="43" fontId="0" fillId="0" borderId="11" xfId="1" applyNumberFormat="1" applyFont="1" applyBorder="1" applyProtection="1"/>
    <xf numFmtId="43" fontId="0" fillId="0" borderId="18" xfId="1" applyNumberFormat="1" applyFont="1" applyBorder="1" applyProtection="1"/>
    <xf numFmtId="43" fontId="3" fillId="0" borderId="12" xfId="1" applyNumberFormat="1" applyFont="1" applyFill="1" applyBorder="1"/>
    <xf numFmtId="43" fontId="3" fillId="8" borderId="12" xfId="1" applyNumberFormat="1" applyFont="1" applyFill="1" applyBorder="1"/>
    <xf numFmtId="43" fontId="3" fillId="0" borderId="11" xfId="1" applyNumberFormat="1" applyFont="1" applyFill="1" applyBorder="1"/>
    <xf numFmtId="43" fontId="3" fillId="0" borderId="23" xfId="1" applyNumberFormat="1" applyFont="1" applyBorder="1" applyProtection="1"/>
    <xf numFmtId="43" fontId="3" fillId="0" borderId="22" xfId="1" applyNumberFormat="1" applyFont="1" applyBorder="1" applyProtection="1">
      <protection locked="0"/>
    </xf>
    <xf numFmtId="0" fontId="11" fillId="0" borderId="13" xfId="2" applyFont="1" applyFill="1" applyBorder="1"/>
    <xf numFmtId="0" fontId="11" fillId="0" borderId="13" xfId="3" applyFont="1" applyFill="1" applyBorder="1"/>
    <xf numFmtId="43" fontId="3" fillId="0" borderId="10" xfId="1" applyNumberFormat="1" applyFont="1" applyFill="1" applyBorder="1"/>
    <xf numFmtId="43" fontId="3" fillId="0" borderId="12" xfId="1" applyNumberFormat="1" applyFont="1" applyFill="1" applyBorder="1" applyProtection="1"/>
    <xf numFmtId="43" fontId="3" fillId="0" borderId="20" xfId="1" applyNumberFormat="1" applyFont="1" applyFill="1" applyBorder="1"/>
    <xf numFmtId="43" fontId="0" fillId="0" borderId="11" xfId="0" applyNumberFormat="1" applyFont="1" applyFill="1" applyBorder="1"/>
    <xf numFmtId="43" fontId="3" fillId="11" borderId="11" xfId="1" applyFont="1" applyFill="1" applyBorder="1"/>
    <xf numFmtId="43" fontId="0" fillId="0" borderId="0" xfId="0" applyNumberFormat="1" applyFont="1" applyBorder="1"/>
    <xf numFmtId="4" fontId="0" fillId="0" borderId="0" xfId="0" applyNumberFormat="1" applyFont="1" applyBorder="1"/>
    <xf numFmtId="2" fontId="3" fillId="0" borderId="19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4" fontId="0" fillId="0" borderId="24" xfId="0" applyNumberFormat="1" applyFont="1" applyBorder="1"/>
    <xf numFmtId="164" fontId="0" fillId="0" borderId="26" xfId="0" applyNumberFormat="1" applyBorder="1"/>
    <xf numFmtId="4" fontId="0" fillId="0" borderId="4" xfId="0" applyNumberFormat="1" applyFont="1" applyBorder="1"/>
    <xf numFmtId="0" fontId="6" fillId="0" borderId="0" xfId="0" applyFont="1" applyAlignment="1">
      <alignment horizontal="center"/>
    </xf>
    <xf numFmtId="0" fontId="19" fillId="0" borderId="0" xfId="2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1695451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76" r="13888"/>
        <a:stretch/>
      </xdr:blipFill>
      <xdr:spPr>
        <a:xfrm>
          <a:off x="0" y="0"/>
          <a:ext cx="1695451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91"/>
  <sheetViews>
    <sheetView tabSelected="1" topLeftCell="A166" workbookViewId="0">
      <selection activeCell="C126" sqref="C126"/>
    </sheetView>
  </sheetViews>
  <sheetFormatPr baseColWidth="10" defaultColWidth="0" defaultRowHeight="15" x14ac:dyDescent="0.25"/>
  <cols>
    <col min="1" max="1" width="69.42578125" style="1" customWidth="1"/>
    <col min="2" max="2" width="8" style="1" customWidth="1"/>
    <col min="3" max="3" width="19.28515625" style="1" bestFit="1" customWidth="1"/>
    <col min="4" max="4" width="12.28515625" style="1" customWidth="1"/>
    <col min="5" max="5" width="14.85546875" style="1" customWidth="1"/>
    <col min="6" max="6" width="12.28515625" style="1" customWidth="1"/>
    <col min="7" max="7" width="13.5703125" style="1" customWidth="1"/>
    <col min="8" max="8" width="16.85546875" style="2" customWidth="1"/>
    <col min="9" max="16379" width="11.42578125" hidden="1"/>
    <col min="16380" max="16383" width="13.5703125" hidden="1"/>
    <col min="16384" max="16384" width="3.5703125" customWidth="1"/>
  </cols>
  <sheetData>
    <row r="1" spans="1:8" ht="26.25" x14ac:dyDescent="0.25">
      <c r="C1" s="3"/>
      <c r="D1" s="3"/>
      <c r="E1" s="3"/>
      <c r="F1" s="3"/>
      <c r="G1" s="3"/>
      <c r="H1" s="4"/>
    </row>
    <row r="2" spans="1:8" ht="26.25" x14ac:dyDescent="0.25">
      <c r="C2" s="3"/>
      <c r="D2" s="3"/>
      <c r="E2" s="3"/>
      <c r="F2" s="3"/>
      <c r="G2" s="3"/>
      <c r="H2" s="4"/>
    </row>
    <row r="3" spans="1:8" ht="26.25" x14ac:dyDescent="0.4">
      <c r="A3" s="102" t="s">
        <v>0</v>
      </c>
      <c r="B3" s="102"/>
      <c r="C3" s="102"/>
      <c r="D3" s="102"/>
      <c r="E3" s="102"/>
      <c r="F3" s="102"/>
      <c r="G3" s="102"/>
      <c r="H3" s="102"/>
    </row>
    <row r="4" spans="1:8" ht="21" x14ac:dyDescent="0.35">
      <c r="A4" s="103" t="s">
        <v>1</v>
      </c>
      <c r="B4" s="103"/>
      <c r="C4" s="103"/>
      <c r="D4" s="103"/>
      <c r="E4" s="103"/>
      <c r="F4" s="103"/>
      <c r="G4" s="103"/>
      <c r="H4" s="103"/>
    </row>
    <row r="5" spans="1:8" ht="24" thickBot="1" x14ac:dyDescent="0.4">
      <c r="A5" s="5"/>
      <c r="B5" s="5"/>
      <c r="C5" s="5"/>
      <c r="D5" s="5"/>
      <c r="E5" s="5"/>
      <c r="F5" s="5"/>
      <c r="G5" s="5"/>
      <c r="H5" s="5"/>
    </row>
    <row r="6" spans="1:8" ht="19.5" thickBot="1" x14ac:dyDescent="0.35">
      <c r="A6" s="104" t="s">
        <v>106</v>
      </c>
      <c r="B6" s="105"/>
      <c r="C6" s="106"/>
      <c r="D6" s="107" t="s">
        <v>2</v>
      </c>
      <c r="E6" s="108"/>
      <c r="F6" s="108"/>
      <c r="G6" s="109"/>
      <c r="H6" s="6"/>
    </row>
    <row r="7" spans="1:8" ht="51.75" thickBot="1" x14ac:dyDescent="0.3">
      <c r="A7" s="7" t="s">
        <v>107</v>
      </c>
      <c r="B7" s="8" t="s">
        <v>3</v>
      </c>
      <c r="C7" s="9" t="s">
        <v>4</v>
      </c>
      <c r="D7" s="10" t="s">
        <v>5</v>
      </c>
      <c r="E7" s="8" t="s">
        <v>6</v>
      </c>
      <c r="F7" s="8" t="s">
        <v>7</v>
      </c>
      <c r="G7" s="11" t="s">
        <v>8</v>
      </c>
      <c r="H7" s="12" t="s">
        <v>9</v>
      </c>
    </row>
    <row r="8" spans="1:8" ht="15.75" thickBot="1" x14ac:dyDescent="0.3">
      <c r="A8" s="13" t="s">
        <v>10</v>
      </c>
      <c r="B8" s="14"/>
      <c r="C8" s="90">
        <f>C9</f>
        <v>4737071366.3400002</v>
      </c>
      <c r="D8" s="15"/>
      <c r="E8" s="16"/>
      <c r="F8" s="15">
        <v>227</v>
      </c>
      <c r="G8" s="16">
        <v>143</v>
      </c>
      <c r="H8" s="17">
        <f>IFERROR(C8/SUM($D$8:$G$8),0)</f>
        <v>12802895.584702702</v>
      </c>
    </row>
    <row r="9" spans="1:8" ht="15.75" thickBot="1" x14ac:dyDescent="0.3">
      <c r="A9" s="13" t="s">
        <v>11</v>
      </c>
      <c r="B9" s="18"/>
      <c r="C9" s="91">
        <f>C10</f>
        <v>4737071366.3400002</v>
      </c>
      <c r="D9" s="18"/>
      <c r="E9" s="19"/>
      <c r="F9" s="18"/>
      <c r="G9" s="19"/>
      <c r="H9" s="20">
        <f t="shared" ref="H9:H33" si="0">IFERROR(C9/SUM($D$8:$G$8),0)</f>
        <v>12802895.584702702</v>
      </c>
    </row>
    <row r="10" spans="1:8" x14ac:dyDescent="0.25">
      <c r="A10" s="24" t="s">
        <v>97</v>
      </c>
      <c r="B10" s="22"/>
      <c r="C10" s="73">
        <v>4737071366.3400002</v>
      </c>
      <c r="D10" s="22"/>
      <c r="E10" s="23"/>
      <c r="F10" s="22"/>
      <c r="G10" s="23"/>
      <c r="H10" s="20">
        <f t="shared" si="0"/>
        <v>12802895.584702702</v>
      </c>
    </row>
    <row r="11" spans="1:8" ht="15.75" thickBot="1" x14ac:dyDescent="0.3">
      <c r="A11" s="25" t="s">
        <v>14</v>
      </c>
      <c r="B11" s="18"/>
      <c r="C11" s="83">
        <f>C12+C17+C33+C39</f>
        <v>42134796831.643188</v>
      </c>
      <c r="D11" s="18"/>
      <c r="E11" s="19"/>
      <c r="F11" s="18"/>
      <c r="G11" s="19"/>
      <c r="H11" s="20">
        <f t="shared" si="0"/>
        <v>113877829.27471133</v>
      </c>
    </row>
    <row r="12" spans="1:8" ht="15.75" thickBot="1" x14ac:dyDescent="0.3">
      <c r="A12" s="26" t="s">
        <v>15</v>
      </c>
      <c r="B12" s="27">
        <v>27</v>
      </c>
      <c r="C12" s="75">
        <f>C14+C15+C16</f>
        <v>4256545062.8000002</v>
      </c>
      <c r="D12" s="18"/>
      <c r="E12" s="19"/>
      <c r="F12" s="18"/>
      <c r="G12" s="19"/>
      <c r="H12" s="20">
        <f t="shared" si="0"/>
        <v>11504175.845405405</v>
      </c>
    </row>
    <row r="13" spans="1:8" ht="15.75" thickBot="1" x14ac:dyDescent="0.3">
      <c r="A13" s="28" t="s">
        <v>16</v>
      </c>
      <c r="B13" s="22"/>
      <c r="C13" s="76"/>
      <c r="D13" s="22"/>
      <c r="E13" s="23"/>
      <c r="F13" s="22"/>
      <c r="G13" s="23"/>
      <c r="H13" s="29"/>
    </row>
    <row r="14" spans="1:8" x14ac:dyDescent="0.25">
      <c r="A14" s="21" t="s">
        <v>17</v>
      </c>
      <c r="B14" s="22"/>
      <c r="C14" s="73">
        <v>2433673334.4000001</v>
      </c>
      <c r="D14" s="22"/>
      <c r="E14" s="23"/>
      <c r="F14" s="22"/>
      <c r="G14" s="23"/>
      <c r="H14" s="20">
        <f t="shared" si="0"/>
        <v>6577495.4983783783</v>
      </c>
    </row>
    <row r="15" spans="1:8" x14ac:dyDescent="0.25">
      <c r="A15" s="21" t="s">
        <v>18</v>
      </c>
      <c r="B15" s="22"/>
      <c r="C15" s="73">
        <v>1822871728.4000001</v>
      </c>
      <c r="D15" s="22"/>
      <c r="E15" s="23"/>
      <c r="F15" s="22"/>
      <c r="G15" s="23"/>
      <c r="H15" s="20">
        <f t="shared" si="0"/>
        <v>4926680.347027027</v>
      </c>
    </row>
    <row r="16" spans="1:8" x14ac:dyDescent="0.25">
      <c r="A16" s="24" t="s">
        <v>19</v>
      </c>
      <c r="B16" s="22"/>
      <c r="C16" s="73">
        <v>0</v>
      </c>
      <c r="D16" s="22"/>
      <c r="E16" s="23"/>
      <c r="F16" s="22"/>
      <c r="G16" s="23"/>
      <c r="H16" s="20">
        <f t="shared" si="0"/>
        <v>0</v>
      </c>
    </row>
    <row r="17" spans="1:8" ht="15.75" thickBot="1" x14ac:dyDescent="0.3">
      <c r="A17" s="30" t="s">
        <v>20</v>
      </c>
      <c r="B17" s="31">
        <f>B12</f>
        <v>27</v>
      </c>
      <c r="C17" s="77">
        <f>SUM(C18:C32)</f>
        <v>37878251768.843185</v>
      </c>
      <c r="D17" s="18"/>
      <c r="E17" s="19"/>
      <c r="F17" s="18"/>
      <c r="G17" s="19"/>
      <c r="H17" s="20">
        <f t="shared" si="0"/>
        <v>102373653.42930591</v>
      </c>
    </row>
    <row r="18" spans="1:8" x14ac:dyDescent="0.25">
      <c r="A18" s="21" t="s">
        <v>21</v>
      </c>
      <c r="B18" s="22"/>
      <c r="C18" s="73">
        <v>330750000</v>
      </c>
      <c r="D18" s="22"/>
      <c r="E18" s="23"/>
      <c r="F18" s="22"/>
      <c r="G18" s="23"/>
      <c r="H18" s="20">
        <f t="shared" si="0"/>
        <v>893918.91891891893</v>
      </c>
    </row>
    <row r="19" spans="1:8" x14ac:dyDescent="0.25">
      <c r="A19" s="21" t="s">
        <v>92</v>
      </c>
      <c r="B19" s="22"/>
      <c r="C19" s="73">
        <v>1655052790</v>
      </c>
      <c r="D19" s="22"/>
      <c r="E19" s="23"/>
      <c r="F19" s="22"/>
      <c r="G19" s="23"/>
      <c r="H19" s="20">
        <f t="shared" si="0"/>
        <v>4473115.6486486485</v>
      </c>
    </row>
    <row r="20" spans="1:8" x14ac:dyDescent="0.25">
      <c r="A20" s="21" t="s">
        <v>98</v>
      </c>
      <c r="B20" s="22"/>
      <c r="C20" s="73">
        <f>C14*10%</f>
        <v>243367333.44000003</v>
      </c>
      <c r="D20" s="22"/>
      <c r="E20" s="23"/>
      <c r="F20" s="22"/>
      <c r="G20" s="23"/>
      <c r="H20" s="20">
        <f t="shared" si="0"/>
        <v>657749.54983783793</v>
      </c>
    </row>
    <row r="21" spans="1:8" x14ac:dyDescent="0.25">
      <c r="A21" s="21" t="s">
        <v>22</v>
      </c>
      <c r="B21" s="22"/>
      <c r="C21" s="73">
        <v>0</v>
      </c>
      <c r="D21" s="22"/>
      <c r="E21" s="23"/>
      <c r="F21" s="22"/>
      <c r="G21" s="23"/>
      <c r="H21" s="20">
        <f t="shared" si="0"/>
        <v>0</v>
      </c>
    </row>
    <row r="22" spans="1:8" x14ac:dyDescent="0.25">
      <c r="A22" s="21" t="s">
        <v>23</v>
      </c>
      <c r="B22" s="22"/>
      <c r="C22" s="72">
        <f>(C12/12)*2.925926</f>
        <v>1037861322.4515127</v>
      </c>
      <c r="D22" s="22"/>
      <c r="E22" s="23"/>
      <c r="F22" s="22"/>
      <c r="G22" s="23"/>
      <c r="H22" s="20">
        <f t="shared" si="0"/>
        <v>2805030.6012203046</v>
      </c>
    </row>
    <row r="23" spans="1:8" x14ac:dyDescent="0.25">
      <c r="A23" s="21" t="s">
        <v>24</v>
      </c>
      <c r="B23" s="22"/>
      <c r="C23" s="72">
        <f>(C12/12)*1.48</f>
        <v>524973891.07866663</v>
      </c>
      <c r="D23" s="22"/>
      <c r="E23" s="23"/>
      <c r="F23" s="22"/>
      <c r="G23" s="23"/>
      <c r="H23" s="20">
        <f t="shared" si="0"/>
        <v>1418848.3542666666</v>
      </c>
    </row>
    <row r="24" spans="1:8" x14ac:dyDescent="0.25">
      <c r="A24" s="21" t="s">
        <v>25</v>
      </c>
      <c r="B24" s="22"/>
      <c r="C24" s="78">
        <f>(C12/12)*5.081481</f>
        <v>1802462738.5218339</v>
      </c>
      <c r="D24" s="22"/>
      <c r="E24" s="23"/>
      <c r="F24" s="22"/>
      <c r="G24" s="23"/>
      <c r="H24" s="20">
        <f t="shared" si="0"/>
        <v>4871520.9149238756</v>
      </c>
    </row>
    <row r="25" spans="1:8" x14ac:dyDescent="0.25">
      <c r="A25" s="21" t="s">
        <v>26</v>
      </c>
      <c r="B25" s="22"/>
      <c r="C25" s="78">
        <f>(C12*4.5%)*11/4.5</f>
        <v>468219956.90799999</v>
      </c>
      <c r="D25" s="22"/>
      <c r="E25" s="23"/>
      <c r="F25" s="22"/>
      <c r="G25" s="23"/>
      <c r="H25" s="20">
        <f t="shared" si="0"/>
        <v>1265459.3429945945</v>
      </c>
    </row>
    <row r="26" spans="1:8" x14ac:dyDescent="0.25">
      <c r="A26" s="21" t="s">
        <v>27</v>
      </c>
      <c r="B26" s="22"/>
      <c r="C26" s="78">
        <f>C12*1.728*2%</f>
        <v>147106197.370368</v>
      </c>
      <c r="D26" s="22"/>
      <c r="E26" s="23"/>
      <c r="F26" s="22"/>
      <c r="G26" s="23"/>
      <c r="H26" s="20">
        <f t="shared" si="0"/>
        <v>397584.31721721083</v>
      </c>
    </row>
    <row r="27" spans="1:8" x14ac:dyDescent="0.25">
      <c r="A27" s="21" t="s">
        <v>28</v>
      </c>
      <c r="B27" s="22"/>
      <c r="C27" s="72">
        <f>C12*2%</f>
        <v>85130901.256000012</v>
      </c>
      <c r="D27" s="22"/>
      <c r="E27" s="23"/>
      <c r="F27" s="22"/>
      <c r="G27" s="23"/>
      <c r="H27" s="20">
        <f t="shared" si="0"/>
        <v>230083.51690810814</v>
      </c>
    </row>
    <row r="28" spans="1:8" x14ac:dyDescent="0.25">
      <c r="A28" s="21" t="s">
        <v>29</v>
      </c>
      <c r="B28" s="22"/>
      <c r="C28" s="72">
        <f>C12*1.728*4</f>
        <v>29421239474.073601</v>
      </c>
      <c r="D28" s="22"/>
      <c r="E28" s="23"/>
      <c r="F28" s="22"/>
      <c r="G28" s="23"/>
      <c r="H28" s="20">
        <f t="shared" si="0"/>
        <v>79516863.443442166</v>
      </c>
    </row>
    <row r="29" spans="1:8" x14ac:dyDescent="0.25">
      <c r="A29" s="21" t="s">
        <v>30</v>
      </c>
      <c r="B29" s="22"/>
      <c r="C29" s="78">
        <f>(C12/360*1.728)*30</f>
        <v>612942489.04320002</v>
      </c>
      <c r="D29" s="22"/>
      <c r="E29" s="23"/>
      <c r="F29" s="22"/>
      <c r="G29" s="23"/>
      <c r="H29" s="20">
        <f t="shared" si="0"/>
        <v>1656601.3217383784</v>
      </c>
    </row>
    <row r="30" spans="1:8" x14ac:dyDescent="0.25">
      <c r="A30" s="24" t="s">
        <v>31</v>
      </c>
      <c r="B30" s="22"/>
      <c r="C30" s="73">
        <v>684043204.29999995</v>
      </c>
      <c r="D30" s="22"/>
      <c r="E30" s="23"/>
      <c r="F30" s="22"/>
      <c r="G30" s="23"/>
      <c r="H30" s="20">
        <f t="shared" si="0"/>
        <v>1848765.4170270269</v>
      </c>
    </row>
    <row r="31" spans="1:8" x14ac:dyDescent="0.25">
      <c r="A31" s="21" t="s">
        <v>32</v>
      </c>
      <c r="B31" s="22"/>
      <c r="C31" s="73">
        <v>0</v>
      </c>
      <c r="D31" s="22"/>
      <c r="E31" s="23"/>
      <c r="F31" s="22"/>
      <c r="G31" s="23"/>
      <c r="H31" s="20">
        <f t="shared" si="0"/>
        <v>0</v>
      </c>
    </row>
    <row r="32" spans="1:8" x14ac:dyDescent="0.25">
      <c r="A32" s="24" t="s">
        <v>33</v>
      </c>
      <c r="B32" s="22"/>
      <c r="C32" s="73">
        <v>865101470.39999998</v>
      </c>
      <c r="D32" s="22"/>
      <c r="E32" s="23"/>
      <c r="F32" s="22"/>
      <c r="G32" s="23"/>
      <c r="H32" s="20">
        <f t="shared" si="0"/>
        <v>2338112.0821621623</v>
      </c>
    </row>
    <row r="33" spans="1:8" x14ac:dyDescent="0.25">
      <c r="A33" s="32" t="s">
        <v>34</v>
      </c>
      <c r="B33" s="27"/>
      <c r="C33" s="75">
        <f>SUM(C36:C38)</f>
        <v>0</v>
      </c>
      <c r="D33" s="18"/>
      <c r="E33" s="19"/>
      <c r="F33" s="18"/>
      <c r="G33" s="19"/>
      <c r="H33" s="20">
        <f t="shared" si="0"/>
        <v>0</v>
      </c>
    </row>
    <row r="34" spans="1:8" x14ac:dyDescent="0.25">
      <c r="A34" s="33" t="s">
        <v>35</v>
      </c>
      <c r="B34" s="18"/>
      <c r="C34" s="79"/>
      <c r="D34" s="18"/>
      <c r="E34" s="19"/>
      <c r="F34" s="18"/>
      <c r="G34" s="19"/>
      <c r="H34" s="29"/>
    </row>
    <row r="35" spans="1:8" x14ac:dyDescent="0.25">
      <c r="A35" s="34" t="s">
        <v>36</v>
      </c>
      <c r="B35" s="18"/>
      <c r="C35" s="80"/>
      <c r="D35" s="18"/>
      <c r="E35" s="19"/>
      <c r="F35" s="18"/>
      <c r="G35" s="19"/>
      <c r="H35" s="35"/>
    </row>
    <row r="36" spans="1:8" x14ac:dyDescent="0.25">
      <c r="A36" s="36" t="s">
        <v>17</v>
      </c>
      <c r="B36" s="22"/>
      <c r="C36" s="73">
        <v>0</v>
      </c>
      <c r="D36" s="22"/>
      <c r="E36" s="23"/>
      <c r="F36" s="22"/>
      <c r="G36" s="23"/>
      <c r="H36" s="20">
        <f t="shared" ref="H36:H79" si="1">IFERROR(C36/SUM($D$8:$G$8),0)</f>
        <v>0</v>
      </c>
    </row>
    <row r="37" spans="1:8" x14ac:dyDescent="0.25">
      <c r="A37" s="21" t="s">
        <v>18</v>
      </c>
      <c r="B37" s="22"/>
      <c r="C37" s="73">
        <v>0</v>
      </c>
      <c r="D37" s="22"/>
      <c r="E37" s="23"/>
      <c r="F37" s="22"/>
      <c r="G37" s="23"/>
      <c r="H37" s="20">
        <f t="shared" si="1"/>
        <v>0</v>
      </c>
    </row>
    <row r="38" spans="1:8" x14ac:dyDescent="0.25">
      <c r="A38" s="24" t="s">
        <v>19</v>
      </c>
      <c r="B38" s="22"/>
      <c r="C38" s="73">
        <v>0</v>
      </c>
      <c r="D38" s="22"/>
      <c r="E38" s="23"/>
      <c r="F38" s="22"/>
      <c r="G38" s="23"/>
      <c r="H38" s="20">
        <f t="shared" si="1"/>
        <v>0</v>
      </c>
    </row>
    <row r="39" spans="1:8" ht="15.75" thickBot="1" x14ac:dyDescent="0.3">
      <c r="A39" s="30" t="s">
        <v>37</v>
      </c>
      <c r="B39" s="31">
        <f>B33</f>
        <v>0</v>
      </c>
      <c r="C39" s="75">
        <f>SUM(C40:C54)</f>
        <v>0</v>
      </c>
      <c r="D39" s="18"/>
      <c r="E39" s="19"/>
      <c r="F39" s="18"/>
      <c r="G39" s="19"/>
      <c r="H39" s="20">
        <f t="shared" si="1"/>
        <v>0</v>
      </c>
    </row>
    <row r="40" spans="1:8" x14ac:dyDescent="0.25">
      <c r="A40" s="21" t="s">
        <v>21</v>
      </c>
      <c r="B40" s="22"/>
      <c r="C40" s="73">
        <v>0</v>
      </c>
      <c r="D40" s="22"/>
      <c r="E40" s="23"/>
      <c r="F40" s="22"/>
      <c r="G40" s="23"/>
      <c r="H40" s="20">
        <f t="shared" si="1"/>
        <v>0</v>
      </c>
    </row>
    <row r="41" spans="1:8" x14ac:dyDescent="0.25">
      <c r="A41" s="21" t="s">
        <v>92</v>
      </c>
      <c r="B41" s="22"/>
      <c r="C41" s="73">
        <v>0</v>
      </c>
      <c r="D41" s="22"/>
      <c r="E41" s="23"/>
      <c r="F41" s="22"/>
      <c r="G41" s="23"/>
      <c r="H41" s="20">
        <f t="shared" si="1"/>
        <v>0</v>
      </c>
    </row>
    <row r="42" spans="1:8" x14ac:dyDescent="0.25">
      <c r="A42" s="21" t="s">
        <v>22</v>
      </c>
      <c r="B42" s="22"/>
      <c r="C42" s="73">
        <v>0</v>
      </c>
      <c r="D42" s="22"/>
      <c r="E42" s="23"/>
      <c r="F42" s="22"/>
      <c r="G42" s="23"/>
      <c r="H42" s="20">
        <f t="shared" si="1"/>
        <v>0</v>
      </c>
    </row>
    <row r="43" spans="1:8" x14ac:dyDescent="0.25">
      <c r="A43" s="21" t="s">
        <v>38</v>
      </c>
      <c r="B43" s="22"/>
      <c r="C43" s="74">
        <f>(C33/12)*3.04</f>
        <v>0</v>
      </c>
      <c r="D43" s="22"/>
      <c r="E43" s="23"/>
      <c r="F43" s="22"/>
      <c r="G43" s="23"/>
      <c r="H43" s="20">
        <f t="shared" si="1"/>
        <v>0</v>
      </c>
    </row>
    <row r="44" spans="1:8" x14ac:dyDescent="0.25">
      <c r="A44" s="21" t="s">
        <v>25</v>
      </c>
      <c r="B44" s="22"/>
      <c r="C44" s="78">
        <f>(C33/12)*5.77777778</f>
        <v>0</v>
      </c>
      <c r="D44" s="22"/>
      <c r="E44" s="23"/>
      <c r="F44" s="22"/>
      <c r="G44" s="23"/>
      <c r="H44" s="20">
        <f t="shared" si="1"/>
        <v>0</v>
      </c>
    </row>
    <row r="45" spans="1:8" x14ac:dyDescent="0.25">
      <c r="A45" s="21" t="s">
        <v>93</v>
      </c>
      <c r="B45" s="22"/>
      <c r="C45" s="78">
        <f>(C33/12)*4.028</f>
        <v>0</v>
      </c>
      <c r="D45" s="22"/>
      <c r="E45" s="23"/>
      <c r="F45" s="22"/>
      <c r="G45" s="23"/>
      <c r="H45" s="20">
        <f t="shared" si="1"/>
        <v>0</v>
      </c>
    </row>
    <row r="46" spans="1:8" x14ac:dyDescent="0.25">
      <c r="A46" s="21" t="s">
        <v>94</v>
      </c>
      <c r="B46" s="22"/>
      <c r="C46" s="78">
        <f>(C33/360)*4.401926*90</f>
        <v>0</v>
      </c>
      <c r="D46" s="22"/>
      <c r="E46" s="23"/>
      <c r="F46" s="22"/>
      <c r="G46" s="23"/>
      <c r="H46" s="20">
        <f t="shared" si="1"/>
        <v>0</v>
      </c>
    </row>
    <row r="47" spans="1:8" x14ac:dyDescent="0.25">
      <c r="A47" s="21" t="s">
        <v>26</v>
      </c>
      <c r="B47" s="22"/>
      <c r="C47" s="81">
        <f>(C33*4.5%)*11/4.5</f>
        <v>0</v>
      </c>
      <c r="D47" s="22"/>
      <c r="E47" s="23"/>
      <c r="F47" s="22"/>
      <c r="G47" s="23"/>
      <c r="H47" s="20">
        <f t="shared" si="1"/>
        <v>0</v>
      </c>
    </row>
    <row r="48" spans="1:8" x14ac:dyDescent="0.25">
      <c r="A48" s="21" t="s">
        <v>27</v>
      </c>
      <c r="B48" s="22"/>
      <c r="C48" s="82">
        <f>C33*1.924*2%</f>
        <v>0</v>
      </c>
      <c r="D48" s="22"/>
      <c r="E48" s="23"/>
      <c r="F48" s="22"/>
      <c r="G48" s="23"/>
      <c r="H48" s="20">
        <f t="shared" si="1"/>
        <v>0</v>
      </c>
    </row>
    <row r="49" spans="1:8" x14ac:dyDescent="0.25">
      <c r="A49" s="21" t="s">
        <v>28</v>
      </c>
      <c r="B49" s="22"/>
      <c r="C49" s="74">
        <f>C33*2%</f>
        <v>0</v>
      </c>
      <c r="D49" s="22"/>
      <c r="E49" s="23"/>
      <c r="F49" s="22"/>
      <c r="G49" s="23"/>
      <c r="H49" s="20">
        <f t="shared" si="1"/>
        <v>0</v>
      </c>
    </row>
    <row r="50" spans="1:8" x14ac:dyDescent="0.25">
      <c r="A50" s="21" t="s">
        <v>29</v>
      </c>
      <c r="B50" s="22"/>
      <c r="C50" s="74">
        <f>C33*1.927*4</f>
        <v>0</v>
      </c>
      <c r="D50" s="22"/>
      <c r="E50" s="23"/>
      <c r="F50" s="22"/>
      <c r="G50" s="23"/>
      <c r="H50" s="20">
        <f t="shared" si="1"/>
        <v>0</v>
      </c>
    </row>
    <row r="51" spans="1:8" x14ac:dyDescent="0.25">
      <c r="A51" s="21" t="s">
        <v>30</v>
      </c>
      <c r="B51" s="22"/>
      <c r="C51" s="78">
        <f>(C33/360*1.924)*30</f>
        <v>0</v>
      </c>
      <c r="D51" s="22"/>
      <c r="E51" s="23"/>
      <c r="F51" s="22"/>
      <c r="G51" s="23"/>
      <c r="H51" s="20">
        <f t="shared" si="1"/>
        <v>0</v>
      </c>
    </row>
    <row r="52" spans="1:8" x14ac:dyDescent="0.25">
      <c r="A52" s="24" t="s">
        <v>31</v>
      </c>
      <c r="B52" s="22"/>
      <c r="C52" s="73">
        <v>0</v>
      </c>
      <c r="D52" s="22"/>
      <c r="E52" s="23"/>
      <c r="F52" s="22"/>
      <c r="G52" s="23"/>
      <c r="H52" s="20">
        <f t="shared" si="1"/>
        <v>0</v>
      </c>
    </row>
    <row r="53" spans="1:8" x14ac:dyDescent="0.25">
      <c r="A53" s="21" t="s">
        <v>32</v>
      </c>
      <c r="B53" s="22"/>
      <c r="C53" s="73">
        <v>0</v>
      </c>
      <c r="D53" s="22"/>
      <c r="E53" s="23"/>
      <c r="F53" s="22"/>
      <c r="G53" s="23"/>
      <c r="H53" s="20">
        <f t="shared" si="1"/>
        <v>0</v>
      </c>
    </row>
    <row r="54" spans="1:8" x14ac:dyDescent="0.25">
      <c r="A54" s="24" t="s">
        <v>33</v>
      </c>
      <c r="B54" s="22"/>
      <c r="C54" s="73">
        <f>3600*B39</f>
        <v>0</v>
      </c>
      <c r="D54" s="22"/>
      <c r="E54" s="23"/>
      <c r="F54" s="22"/>
      <c r="G54" s="23"/>
      <c r="H54" s="20">
        <f t="shared" si="1"/>
        <v>0</v>
      </c>
    </row>
    <row r="55" spans="1:8" ht="15.75" thickBot="1" x14ac:dyDescent="0.3">
      <c r="A55" s="25" t="s">
        <v>39</v>
      </c>
      <c r="B55" s="18"/>
      <c r="C55" s="74">
        <f>C122+C163</f>
        <v>79707822137.449997</v>
      </c>
      <c r="D55" s="18"/>
      <c r="E55" s="19"/>
      <c r="F55" s="18"/>
      <c r="G55" s="19"/>
      <c r="H55" s="20">
        <f t="shared" si="1"/>
        <v>215426546.31743243</v>
      </c>
    </row>
    <row r="56" spans="1:8" ht="15.75" thickBot="1" x14ac:dyDescent="0.3">
      <c r="A56" s="37" t="s">
        <v>40</v>
      </c>
      <c r="B56" s="18"/>
      <c r="C56" s="74">
        <f>C57+C61+C79+C84+C100+C106+C140+C146</f>
        <v>26686043836.929764</v>
      </c>
      <c r="D56" s="18"/>
      <c r="E56" s="19"/>
      <c r="F56" s="18"/>
      <c r="G56" s="19"/>
      <c r="H56" s="20">
        <f t="shared" si="1"/>
        <v>72124442.802512869</v>
      </c>
    </row>
    <row r="57" spans="1:8" ht="15.75" thickBot="1" x14ac:dyDescent="0.3">
      <c r="A57" s="26" t="s">
        <v>41</v>
      </c>
      <c r="B57" s="27">
        <v>7</v>
      </c>
      <c r="C57" s="75">
        <f>C58+C59+C60</f>
        <v>1071263610</v>
      </c>
      <c r="D57" s="18"/>
      <c r="E57" s="19"/>
      <c r="F57" s="18"/>
      <c r="G57" s="19"/>
      <c r="H57" s="20">
        <f t="shared" si="1"/>
        <v>2895307.054054054</v>
      </c>
    </row>
    <row r="58" spans="1:8" x14ac:dyDescent="0.25">
      <c r="A58" s="21" t="s">
        <v>17</v>
      </c>
      <c r="B58" s="22"/>
      <c r="C58" s="73">
        <v>596481000</v>
      </c>
      <c r="D58" s="22"/>
      <c r="E58" s="23"/>
      <c r="F58" s="22"/>
      <c r="G58" s="23"/>
      <c r="H58" s="20">
        <f t="shared" si="1"/>
        <v>1612110.8108108109</v>
      </c>
    </row>
    <row r="59" spans="1:8" x14ac:dyDescent="0.25">
      <c r="A59" s="21" t="s">
        <v>19</v>
      </c>
      <c r="B59" s="22"/>
      <c r="C59" s="73">
        <v>66570300</v>
      </c>
      <c r="D59" s="22"/>
      <c r="E59" s="23"/>
      <c r="F59" s="22"/>
      <c r="G59" s="23"/>
      <c r="H59" s="20">
        <f t="shared" si="1"/>
        <v>179919.72972972973</v>
      </c>
    </row>
    <row r="60" spans="1:8" ht="15.75" thickBot="1" x14ac:dyDescent="0.3">
      <c r="A60" s="21" t="s">
        <v>42</v>
      </c>
      <c r="B60" s="22"/>
      <c r="C60" s="73">
        <v>408212310</v>
      </c>
      <c r="D60" s="22"/>
      <c r="E60" s="23"/>
      <c r="F60" s="22"/>
      <c r="G60" s="23"/>
      <c r="H60" s="20">
        <f t="shared" si="1"/>
        <v>1103276.5135135136</v>
      </c>
    </row>
    <row r="61" spans="1:8" ht="15.75" thickBot="1" x14ac:dyDescent="0.3">
      <c r="A61" s="26" t="s">
        <v>43</v>
      </c>
      <c r="B61" s="31">
        <f>B57</f>
        <v>7</v>
      </c>
      <c r="C61" s="75">
        <f>SUM(C62:C78)</f>
        <v>12158606779.529039</v>
      </c>
      <c r="D61" s="18"/>
      <c r="E61" s="19"/>
      <c r="F61" s="18"/>
      <c r="G61" s="19"/>
      <c r="H61" s="20">
        <f t="shared" si="1"/>
        <v>32861099.404132538</v>
      </c>
    </row>
    <row r="62" spans="1:8" x14ac:dyDescent="0.25">
      <c r="A62" s="21" t="s">
        <v>21</v>
      </c>
      <c r="B62" s="22"/>
      <c r="C62" s="73">
        <v>85750000</v>
      </c>
      <c r="D62" s="22"/>
      <c r="E62" s="23"/>
      <c r="F62" s="22"/>
      <c r="G62" s="23"/>
      <c r="H62" s="20">
        <f t="shared" si="1"/>
        <v>231756.75675675675</v>
      </c>
    </row>
    <row r="63" spans="1:8" x14ac:dyDescent="0.25">
      <c r="A63" s="21" t="s">
        <v>92</v>
      </c>
      <c r="B63" s="22"/>
      <c r="C63" s="73">
        <v>374166255</v>
      </c>
      <c r="D63" s="22"/>
      <c r="E63" s="23"/>
      <c r="F63" s="22"/>
      <c r="G63" s="23"/>
      <c r="H63" s="20">
        <f t="shared" si="1"/>
        <v>1011260.1486486486</v>
      </c>
    </row>
    <row r="64" spans="1:8" x14ac:dyDescent="0.25">
      <c r="A64" s="21" t="s">
        <v>22</v>
      </c>
      <c r="B64" s="22"/>
      <c r="C64" s="73">
        <v>0</v>
      </c>
      <c r="D64" s="22"/>
      <c r="E64" s="23"/>
      <c r="F64" s="22"/>
      <c r="G64" s="23"/>
      <c r="H64" s="20">
        <f t="shared" si="1"/>
        <v>0</v>
      </c>
    </row>
    <row r="65" spans="1:8" x14ac:dyDescent="0.25">
      <c r="A65" s="21" t="s">
        <v>38</v>
      </c>
      <c r="B65" s="22"/>
      <c r="C65" s="74">
        <f>(C57/12)*3.61</f>
        <v>322271802.67500001</v>
      </c>
      <c r="D65" s="22"/>
      <c r="E65" s="23"/>
      <c r="F65" s="22"/>
      <c r="G65" s="23"/>
      <c r="H65" s="20">
        <f t="shared" si="1"/>
        <v>871004.87209459464</v>
      </c>
    </row>
    <row r="66" spans="1:8" x14ac:dyDescent="0.25">
      <c r="A66" s="21" t="s">
        <v>25</v>
      </c>
      <c r="B66" s="22"/>
      <c r="C66" s="78">
        <f>(C57/12)*6.1667</f>
        <v>550513441.98224998</v>
      </c>
      <c r="D66" s="22"/>
      <c r="E66" s="23"/>
      <c r="F66" s="22"/>
      <c r="G66" s="23"/>
      <c r="H66" s="20">
        <f t="shared" si="1"/>
        <v>1487874.1675195945</v>
      </c>
    </row>
    <row r="67" spans="1:8" x14ac:dyDescent="0.25">
      <c r="A67" s="21" t="s">
        <v>95</v>
      </c>
      <c r="B67" s="22"/>
      <c r="C67" s="78">
        <f>(C57/12)*1.981</f>
        <v>176847767.61750001</v>
      </c>
      <c r="D67" s="22"/>
      <c r="E67" s="23"/>
      <c r="F67" s="22"/>
      <c r="G67" s="23"/>
      <c r="H67" s="20">
        <f t="shared" si="1"/>
        <v>477966.93950675678</v>
      </c>
    </row>
    <row r="68" spans="1:8" x14ac:dyDescent="0.25">
      <c r="A68" s="21" t="s">
        <v>96</v>
      </c>
      <c r="B68" s="22"/>
      <c r="C68" s="78">
        <f>(C57/12)*3.593</f>
        <v>320754179.22750002</v>
      </c>
      <c r="D68" s="22"/>
      <c r="E68" s="23"/>
      <c r="F68" s="22"/>
      <c r="G68" s="23"/>
      <c r="H68" s="20">
        <f t="shared" si="1"/>
        <v>866903.18710135145</v>
      </c>
    </row>
    <row r="69" spans="1:8" x14ac:dyDescent="0.25">
      <c r="A69" s="21" t="s">
        <v>94</v>
      </c>
      <c r="B69" s="22"/>
      <c r="C69" s="78">
        <f>(C57/360)*3.837676*90</f>
        <v>1027790661.44259</v>
      </c>
      <c r="D69" s="22"/>
      <c r="E69" s="23"/>
      <c r="F69" s="22"/>
      <c r="G69" s="23"/>
      <c r="H69" s="20">
        <f t="shared" si="1"/>
        <v>2777812.5984934866</v>
      </c>
    </row>
    <row r="70" spans="1:8" x14ac:dyDescent="0.25">
      <c r="A70" s="21" t="s">
        <v>26</v>
      </c>
      <c r="B70" s="22"/>
      <c r="C70" s="81">
        <f>(C57*4.5%)*11/4.5</f>
        <v>117838997.09999998</v>
      </c>
      <c r="D70" s="22"/>
      <c r="E70" s="23"/>
      <c r="F70" s="22"/>
      <c r="G70" s="23"/>
      <c r="H70" s="20">
        <f t="shared" si="1"/>
        <v>318483.77594594588</v>
      </c>
    </row>
    <row r="71" spans="1:8" x14ac:dyDescent="0.25">
      <c r="A71" s="21" t="s">
        <v>27</v>
      </c>
      <c r="B71" s="22"/>
      <c r="C71" s="82">
        <f>C57*1.986*2%</f>
        <v>42550590.589200005</v>
      </c>
      <c r="D71" s="22"/>
      <c r="E71" s="23"/>
      <c r="F71" s="22"/>
      <c r="G71" s="23"/>
      <c r="H71" s="20">
        <f t="shared" si="1"/>
        <v>115001.59618702704</v>
      </c>
    </row>
    <row r="72" spans="1:8" x14ac:dyDescent="0.25">
      <c r="A72" s="21" t="s">
        <v>28</v>
      </c>
      <c r="B72" s="22"/>
      <c r="C72" s="74">
        <f>C57*2%</f>
        <v>21425272.199999999</v>
      </c>
      <c r="D72" s="22"/>
      <c r="E72" s="23"/>
      <c r="F72" s="22"/>
      <c r="G72" s="23"/>
      <c r="H72" s="20">
        <f t="shared" si="1"/>
        <v>57906.141081081078</v>
      </c>
    </row>
    <row r="73" spans="1:8" x14ac:dyDescent="0.25">
      <c r="A73" s="21" t="s">
        <v>29</v>
      </c>
      <c r="B73" s="22"/>
      <c r="C73" s="74">
        <f>C57*1.986*4</f>
        <v>8510118117.8400002</v>
      </c>
      <c r="D73" s="22"/>
      <c r="E73" s="23"/>
      <c r="F73" s="22"/>
      <c r="G73" s="23"/>
      <c r="H73" s="20">
        <f t="shared" si="1"/>
        <v>23000319.237405404</v>
      </c>
    </row>
    <row r="74" spans="1:8" x14ac:dyDescent="0.25">
      <c r="A74" s="21" t="s">
        <v>30</v>
      </c>
      <c r="B74" s="22"/>
      <c r="C74" s="78">
        <f>(C57/360*1.986)*30</f>
        <v>177294127.45499998</v>
      </c>
      <c r="D74" s="22"/>
      <c r="E74" s="23"/>
      <c r="F74" s="22"/>
      <c r="G74" s="23"/>
      <c r="H74" s="20">
        <f t="shared" si="1"/>
        <v>479173.31744594593</v>
      </c>
    </row>
    <row r="75" spans="1:8" x14ac:dyDescent="0.25">
      <c r="A75" s="24" t="s">
        <v>31</v>
      </c>
      <c r="B75" s="22"/>
      <c r="C75" s="73">
        <v>207000000</v>
      </c>
      <c r="D75" s="22"/>
      <c r="E75" s="23"/>
      <c r="F75" s="22"/>
      <c r="G75" s="23"/>
      <c r="H75" s="20">
        <f t="shared" si="1"/>
        <v>559459.45945945941</v>
      </c>
    </row>
    <row r="76" spans="1:8" x14ac:dyDescent="0.25">
      <c r="A76" s="21" t="s">
        <v>32</v>
      </c>
      <c r="B76" s="22"/>
      <c r="C76" s="73">
        <v>0</v>
      </c>
      <c r="D76" s="22"/>
      <c r="E76" s="23"/>
      <c r="F76" s="22"/>
      <c r="G76" s="23"/>
      <c r="H76" s="20">
        <f t="shared" si="1"/>
        <v>0</v>
      </c>
    </row>
    <row r="77" spans="1:8" x14ac:dyDescent="0.25">
      <c r="A77" s="88" t="s">
        <v>90</v>
      </c>
      <c r="B77" s="22"/>
      <c r="C77" s="73">
        <v>0</v>
      </c>
      <c r="D77" s="22"/>
      <c r="E77" s="23"/>
      <c r="F77" s="22"/>
      <c r="G77" s="23"/>
      <c r="H77" s="20">
        <f t="shared" si="1"/>
        <v>0</v>
      </c>
    </row>
    <row r="78" spans="1:8" ht="15.75" thickBot="1" x14ac:dyDescent="0.3">
      <c r="A78" s="38" t="s">
        <v>33</v>
      </c>
      <c r="B78" s="22"/>
      <c r="C78" s="73">
        <v>224285566.40000001</v>
      </c>
      <c r="D78" s="22"/>
      <c r="E78" s="23"/>
      <c r="F78" s="22"/>
      <c r="G78" s="23"/>
      <c r="H78" s="20">
        <f t="shared" si="1"/>
        <v>606177.20648648648</v>
      </c>
    </row>
    <row r="79" spans="1:8" ht="15.75" thickBot="1" x14ac:dyDescent="0.3">
      <c r="A79" s="39" t="s">
        <v>44</v>
      </c>
      <c r="B79" s="27">
        <v>1</v>
      </c>
      <c r="C79" s="75">
        <f>SUM(C81:C83)</f>
        <v>452350725.10000002</v>
      </c>
      <c r="D79" s="18"/>
      <c r="E79" s="19"/>
      <c r="F79" s="18"/>
      <c r="G79" s="19"/>
      <c r="H79" s="20">
        <f t="shared" si="1"/>
        <v>1222569.5272972973</v>
      </c>
    </row>
    <row r="80" spans="1:8" ht="15.75" thickBot="1" x14ac:dyDescent="0.3">
      <c r="A80" s="40" t="s">
        <v>45</v>
      </c>
      <c r="B80" s="18"/>
      <c r="C80" s="79"/>
      <c r="D80" s="18"/>
      <c r="E80" s="19"/>
      <c r="F80" s="18"/>
      <c r="G80" s="19"/>
      <c r="H80" s="29"/>
    </row>
    <row r="81" spans="1:8" x14ac:dyDescent="0.25">
      <c r="A81" s="21" t="s">
        <v>17</v>
      </c>
      <c r="B81" s="22"/>
      <c r="C81" s="73">
        <v>161553830.40000001</v>
      </c>
      <c r="D81" s="22"/>
      <c r="E81" s="23"/>
      <c r="F81" s="22"/>
      <c r="G81" s="23"/>
      <c r="H81" s="20">
        <f t="shared" ref="H81:H100" si="2">IFERROR(C81/SUM($D$8:$G$8),0)</f>
        <v>436631.97405405407</v>
      </c>
    </row>
    <row r="82" spans="1:8" x14ac:dyDescent="0.25">
      <c r="A82" s="21" t="s">
        <v>18</v>
      </c>
      <c r="B82" s="22"/>
      <c r="C82" s="73">
        <v>290796894.69999999</v>
      </c>
      <c r="D82" s="22"/>
      <c r="E82" s="23"/>
      <c r="F82" s="22"/>
      <c r="G82" s="23"/>
      <c r="H82" s="20">
        <f t="shared" si="2"/>
        <v>785937.55324324325</v>
      </c>
    </row>
    <row r="83" spans="1:8" ht="15.75" thickBot="1" x14ac:dyDescent="0.3">
      <c r="A83" s="21" t="s">
        <v>19</v>
      </c>
      <c r="B83" s="22"/>
      <c r="C83" s="73">
        <v>0</v>
      </c>
      <c r="D83" s="22"/>
      <c r="E83" s="23"/>
      <c r="F83" s="22"/>
      <c r="G83" s="23"/>
      <c r="H83" s="20">
        <f t="shared" si="2"/>
        <v>0</v>
      </c>
    </row>
    <row r="84" spans="1:8" ht="15.75" thickBot="1" x14ac:dyDescent="0.3">
      <c r="A84" s="39" t="s">
        <v>46</v>
      </c>
      <c r="B84" s="31">
        <f>B79</f>
        <v>1</v>
      </c>
      <c r="C84" s="75">
        <f>+SUM(C85:C99)</f>
        <v>3889939538.0821238</v>
      </c>
      <c r="D84" s="18"/>
      <c r="E84" s="19"/>
      <c r="F84" s="18"/>
      <c r="G84" s="19"/>
      <c r="H84" s="20">
        <f t="shared" si="2"/>
        <v>10513350.102924658</v>
      </c>
    </row>
    <row r="85" spans="1:8" x14ac:dyDescent="0.25">
      <c r="A85" s="21" t="s">
        <v>21</v>
      </c>
      <c r="B85" s="22"/>
      <c r="C85" s="73">
        <v>12250000</v>
      </c>
      <c r="D85" s="22"/>
      <c r="E85" s="23"/>
      <c r="F85" s="22"/>
      <c r="G85" s="23"/>
      <c r="H85" s="20">
        <f t="shared" si="2"/>
        <v>33108.108108108107</v>
      </c>
    </row>
    <row r="86" spans="1:8" x14ac:dyDescent="0.25">
      <c r="A86" s="21" t="s">
        <v>92</v>
      </c>
      <c r="B86" s="22"/>
      <c r="C86" s="73">
        <v>169631521.90000001</v>
      </c>
      <c r="D86" s="22"/>
      <c r="E86" s="23"/>
      <c r="F86" s="22"/>
      <c r="G86" s="23"/>
      <c r="H86" s="20">
        <f t="shared" si="2"/>
        <v>458463.57270270272</v>
      </c>
    </row>
    <row r="87" spans="1:8" x14ac:dyDescent="0.25">
      <c r="A87" s="21" t="s">
        <v>99</v>
      </c>
      <c r="B87" s="22"/>
      <c r="C87" s="73">
        <f>C81*10%</f>
        <v>16155383.040000001</v>
      </c>
      <c r="D87" s="22"/>
      <c r="E87" s="23"/>
      <c r="F87" s="22"/>
      <c r="G87" s="23"/>
      <c r="H87" s="20">
        <f t="shared" si="2"/>
        <v>43663.197405405408</v>
      </c>
    </row>
    <row r="88" spans="1:8" x14ac:dyDescent="0.25">
      <c r="A88" s="21" t="s">
        <v>22</v>
      </c>
      <c r="B88" s="22"/>
      <c r="C88" s="73">
        <v>0</v>
      </c>
      <c r="D88" s="22"/>
      <c r="E88" s="23"/>
      <c r="F88" s="22"/>
      <c r="G88" s="23"/>
      <c r="H88" s="20">
        <f t="shared" si="2"/>
        <v>0</v>
      </c>
    </row>
    <row r="89" spans="1:8" x14ac:dyDescent="0.25">
      <c r="A89" s="21" t="s">
        <v>23</v>
      </c>
      <c r="B89" s="22"/>
      <c r="C89" s="72">
        <f>(C79/12)*2.925926</f>
        <v>110295395.64074522</v>
      </c>
      <c r="D89" s="22"/>
      <c r="E89" s="23"/>
      <c r="F89" s="22"/>
      <c r="G89" s="23"/>
      <c r="H89" s="20">
        <f t="shared" si="2"/>
        <v>298095.66389390599</v>
      </c>
    </row>
    <row r="90" spans="1:8" x14ac:dyDescent="0.25">
      <c r="A90" s="21" t="s">
        <v>24</v>
      </c>
      <c r="B90" s="22"/>
      <c r="C90" s="72">
        <f>(C79/12)*1.48</f>
        <v>55789922.762333333</v>
      </c>
      <c r="D90" s="22"/>
      <c r="E90" s="23"/>
      <c r="F90" s="22"/>
      <c r="G90" s="23"/>
      <c r="H90" s="20">
        <f t="shared" si="2"/>
        <v>150783.57503333333</v>
      </c>
    </row>
    <row r="91" spans="1:8" x14ac:dyDescent="0.25">
      <c r="A91" s="21" t="s">
        <v>25</v>
      </c>
      <c r="B91" s="22"/>
      <c r="C91" s="78">
        <f>(C79/12)*5.081481</f>
        <v>191550967.91098943</v>
      </c>
      <c r="D91" s="22"/>
      <c r="E91" s="23"/>
      <c r="F91" s="22"/>
      <c r="G91" s="23"/>
      <c r="H91" s="20">
        <f t="shared" si="2"/>
        <v>517705.31867834984</v>
      </c>
    </row>
    <row r="92" spans="1:8" x14ac:dyDescent="0.25">
      <c r="A92" s="21" t="s">
        <v>26</v>
      </c>
      <c r="B92" s="22"/>
      <c r="C92" s="78">
        <f>(C79*4.5%)*11/4.5</f>
        <v>49758579.761000007</v>
      </c>
      <c r="D92" s="22"/>
      <c r="E92" s="23"/>
      <c r="F92" s="22"/>
      <c r="G92" s="23"/>
      <c r="H92" s="20">
        <f t="shared" si="2"/>
        <v>134482.64800270271</v>
      </c>
    </row>
    <row r="93" spans="1:8" x14ac:dyDescent="0.25">
      <c r="A93" s="21" t="s">
        <v>27</v>
      </c>
      <c r="B93" s="22"/>
      <c r="C93" s="78">
        <f>C79*1.728*2%</f>
        <v>15633241.059456</v>
      </c>
      <c r="D93" s="22"/>
      <c r="E93" s="23"/>
      <c r="F93" s="22"/>
      <c r="G93" s="23"/>
      <c r="H93" s="20">
        <f t="shared" si="2"/>
        <v>42252.002863394591</v>
      </c>
    </row>
    <row r="94" spans="1:8" x14ac:dyDescent="0.25">
      <c r="A94" s="21" t="s">
        <v>28</v>
      </c>
      <c r="B94" s="22"/>
      <c r="C94" s="72">
        <f>C79*2%</f>
        <v>9047014.5020000003</v>
      </c>
      <c r="D94" s="22"/>
      <c r="E94" s="23"/>
      <c r="F94" s="22"/>
      <c r="G94" s="23"/>
      <c r="H94" s="20">
        <f t="shared" si="2"/>
        <v>24451.390545945946</v>
      </c>
    </row>
    <row r="95" spans="1:8" x14ac:dyDescent="0.25">
      <c r="A95" s="21" t="s">
        <v>29</v>
      </c>
      <c r="B95" s="22"/>
      <c r="C95" s="72">
        <f>C79*1.728*4</f>
        <v>3126648211.8912001</v>
      </c>
      <c r="D95" s="22"/>
      <c r="E95" s="23"/>
      <c r="F95" s="22"/>
      <c r="G95" s="23"/>
      <c r="H95" s="20">
        <f t="shared" si="2"/>
        <v>8450400.5726789199</v>
      </c>
    </row>
    <row r="96" spans="1:8" x14ac:dyDescent="0.25">
      <c r="A96" s="21" t="s">
        <v>30</v>
      </c>
      <c r="B96" s="22"/>
      <c r="C96" s="78">
        <f>(C79/360*1.728)*30</f>
        <v>65138504.414399996</v>
      </c>
      <c r="D96" s="22"/>
      <c r="E96" s="23"/>
      <c r="F96" s="22"/>
      <c r="G96" s="23"/>
      <c r="H96" s="20">
        <f t="shared" si="2"/>
        <v>176050.01193081081</v>
      </c>
    </row>
    <row r="97" spans="1:8" x14ac:dyDescent="0.25">
      <c r="A97" s="21" t="s">
        <v>31</v>
      </c>
      <c r="B97" s="22"/>
      <c r="C97" s="73">
        <v>36000000</v>
      </c>
      <c r="D97" s="22"/>
      <c r="E97" s="23"/>
      <c r="F97" s="22"/>
      <c r="G97" s="23"/>
      <c r="H97" s="20">
        <f t="shared" si="2"/>
        <v>97297.297297297293</v>
      </c>
    </row>
    <row r="98" spans="1:8" x14ac:dyDescent="0.25">
      <c r="A98" s="21" t="s">
        <v>32</v>
      </c>
      <c r="B98" s="22"/>
      <c r="C98" s="73">
        <v>0</v>
      </c>
      <c r="D98" s="22"/>
      <c r="E98" s="23"/>
      <c r="F98" s="22"/>
      <c r="G98" s="23"/>
      <c r="H98" s="20">
        <f t="shared" si="2"/>
        <v>0</v>
      </c>
    </row>
    <row r="99" spans="1:8" ht="15.75" thickBot="1" x14ac:dyDescent="0.3">
      <c r="A99" s="24" t="s">
        <v>33</v>
      </c>
      <c r="B99" s="22"/>
      <c r="C99" s="73">
        <v>32040795.199999999</v>
      </c>
      <c r="D99" s="22"/>
      <c r="E99" s="23"/>
      <c r="F99" s="22"/>
      <c r="G99" s="23"/>
      <c r="H99" s="20">
        <f t="shared" si="2"/>
        <v>86596.743783783779</v>
      </c>
    </row>
    <row r="100" spans="1:8" ht="15.75" thickBot="1" x14ac:dyDescent="0.3">
      <c r="A100" s="41" t="s">
        <v>47</v>
      </c>
      <c r="B100" s="27"/>
      <c r="C100" s="75">
        <f>SUM(C103:C105)</f>
        <v>0</v>
      </c>
      <c r="D100" s="18"/>
      <c r="E100" s="19"/>
      <c r="F100" s="18"/>
      <c r="G100" s="19"/>
      <c r="H100" s="20">
        <f t="shared" si="2"/>
        <v>0</v>
      </c>
    </row>
    <row r="101" spans="1:8" ht="15.75" thickBot="1" x14ac:dyDescent="0.3">
      <c r="A101" s="40" t="s">
        <v>48</v>
      </c>
      <c r="B101" s="18"/>
      <c r="C101" s="79"/>
      <c r="D101" s="18"/>
      <c r="E101" s="19"/>
      <c r="F101" s="18"/>
      <c r="G101" s="19"/>
      <c r="H101" s="94"/>
    </row>
    <row r="102" spans="1:8" x14ac:dyDescent="0.25">
      <c r="A102" s="42" t="s">
        <v>49</v>
      </c>
      <c r="B102" s="18"/>
      <c r="C102" s="79"/>
      <c r="D102" s="18"/>
      <c r="E102" s="19"/>
      <c r="F102" s="18"/>
      <c r="G102" s="19"/>
      <c r="H102" s="94"/>
    </row>
    <row r="103" spans="1:8" x14ac:dyDescent="0.25">
      <c r="A103" s="21" t="s">
        <v>17</v>
      </c>
      <c r="B103" s="22"/>
      <c r="C103" s="73">
        <v>0</v>
      </c>
      <c r="D103" s="22"/>
      <c r="E103" s="23"/>
      <c r="F103" s="22"/>
      <c r="G103" s="23"/>
      <c r="H103" s="20">
        <f t="shared" ref="H103:H140" si="3">IFERROR(C103/SUM($D$8:$G$8),0)</f>
        <v>0</v>
      </c>
    </row>
    <row r="104" spans="1:8" x14ac:dyDescent="0.25">
      <c r="A104" s="21" t="s">
        <v>50</v>
      </c>
      <c r="B104" s="22"/>
      <c r="C104" s="73">
        <v>0</v>
      </c>
      <c r="D104" s="22"/>
      <c r="E104" s="23"/>
      <c r="F104" s="22"/>
      <c r="G104" s="23"/>
      <c r="H104" s="20">
        <f t="shared" si="3"/>
        <v>0</v>
      </c>
    </row>
    <row r="105" spans="1:8" ht="15.75" thickBot="1" x14ac:dyDescent="0.3">
      <c r="A105" s="21" t="s">
        <v>19</v>
      </c>
      <c r="B105" s="22"/>
      <c r="C105" s="73">
        <v>0</v>
      </c>
      <c r="D105" s="22"/>
      <c r="E105" s="23"/>
      <c r="F105" s="22"/>
      <c r="G105" s="23"/>
      <c r="H105" s="20">
        <f t="shared" si="3"/>
        <v>0</v>
      </c>
    </row>
    <row r="106" spans="1:8" ht="15.75" thickBot="1" x14ac:dyDescent="0.3">
      <c r="A106" s="41" t="s">
        <v>51</v>
      </c>
      <c r="B106" s="31">
        <f>B100</f>
        <v>0</v>
      </c>
      <c r="C106" s="75">
        <f>SUM(C107:C121)</f>
        <v>0</v>
      </c>
      <c r="D106" s="18"/>
      <c r="E106" s="19"/>
      <c r="F106" s="18"/>
      <c r="G106" s="19"/>
      <c r="H106" s="20">
        <f t="shared" si="3"/>
        <v>0</v>
      </c>
    </row>
    <row r="107" spans="1:8" x14ac:dyDescent="0.25">
      <c r="A107" s="21" t="s">
        <v>21</v>
      </c>
      <c r="B107" s="22"/>
      <c r="C107" s="73">
        <v>0</v>
      </c>
      <c r="D107" s="22"/>
      <c r="E107" s="23"/>
      <c r="F107" s="22"/>
      <c r="G107" s="23"/>
      <c r="H107" s="20">
        <f t="shared" si="3"/>
        <v>0</v>
      </c>
    </row>
    <row r="108" spans="1:8" x14ac:dyDescent="0.25">
      <c r="A108" s="21" t="s">
        <v>92</v>
      </c>
      <c r="B108" s="22"/>
      <c r="C108" s="73">
        <v>0</v>
      </c>
      <c r="D108" s="22"/>
      <c r="E108" s="23"/>
      <c r="F108" s="22"/>
      <c r="G108" s="23"/>
      <c r="H108" s="20">
        <f t="shared" si="3"/>
        <v>0</v>
      </c>
    </row>
    <row r="109" spans="1:8" x14ac:dyDescent="0.25">
      <c r="A109" s="21" t="s">
        <v>22</v>
      </c>
      <c r="B109" s="22"/>
      <c r="C109" s="73">
        <v>0</v>
      </c>
      <c r="D109" s="22"/>
      <c r="E109" s="23"/>
      <c r="F109" s="22"/>
      <c r="G109" s="23"/>
      <c r="H109" s="20">
        <f t="shared" si="3"/>
        <v>0</v>
      </c>
    </row>
    <row r="110" spans="1:8" x14ac:dyDescent="0.25">
      <c r="A110" s="21" t="s">
        <v>23</v>
      </c>
      <c r="B110" s="22"/>
      <c r="C110" s="74">
        <f>(C100/12)*3.04</f>
        <v>0</v>
      </c>
      <c r="D110" s="22"/>
      <c r="E110" s="23"/>
      <c r="F110" s="22"/>
      <c r="G110" s="23"/>
      <c r="H110" s="20">
        <f t="shared" si="3"/>
        <v>0</v>
      </c>
    </row>
    <row r="111" spans="1:8" x14ac:dyDescent="0.25">
      <c r="A111" s="21" t="s">
        <v>25</v>
      </c>
      <c r="B111" s="22"/>
      <c r="C111" s="78">
        <f>(C100/12)*5.77777778</f>
        <v>0</v>
      </c>
      <c r="D111" s="22"/>
      <c r="E111" s="23"/>
      <c r="F111" s="22"/>
      <c r="G111" s="23"/>
      <c r="H111" s="20">
        <f t="shared" si="3"/>
        <v>0</v>
      </c>
    </row>
    <row r="112" spans="1:8" x14ac:dyDescent="0.25">
      <c r="A112" s="21" t="s">
        <v>93</v>
      </c>
      <c r="B112" s="22"/>
      <c r="C112" s="78">
        <f>(C100/12)*4.028</f>
        <v>0</v>
      </c>
      <c r="D112" s="22"/>
      <c r="E112" s="23"/>
      <c r="F112" s="22"/>
      <c r="G112" s="23"/>
      <c r="H112" s="20">
        <f t="shared" si="3"/>
        <v>0</v>
      </c>
    </row>
    <row r="113" spans="1:8" x14ac:dyDescent="0.25">
      <c r="A113" s="21" t="s">
        <v>94</v>
      </c>
      <c r="B113" s="22"/>
      <c r="C113" s="78">
        <f>(C100/360)*4.401926*90</f>
        <v>0</v>
      </c>
      <c r="D113" s="22"/>
      <c r="E113" s="23"/>
      <c r="F113" s="22"/>
      <c r="G113" s="23"/>
      <c r="H113" s="20">
        <f t="shared" si="3"/>
        <v>0</v>
      </c>
    </row>
    <row r="114" spans="1:8" x14ac:dyDescent="0.25">
      <c r="A114" s="21" t="s">
        <v>26</v>
      </c>
      <c r="B114" s="22"/>
      <c r="C114" s="81">
        <f>(C100*4.5%)*11/4.5</f>
        <v>0</v>
      </c>
      <c r="D114" s="22"/>
      <c r="E114" s="23"/>
      <c r="F114" s="22"/>
      <c r="G114" s="23"/>
      <c r="H114" s="20">
        <f t="shared" si="3"/>
        <v>0</v>
      </c>
    </row>
    <row r="115" spans="1:8" x14ac:dyDescent="0.25">
      <c r="A115" s="21" t="s">
        <v>27</v>
      </c>
      <c r="B115" s="22"/>
      <c r="C115" s="82">
        <f>C100*1.924*2%</f>
        <v>0</v>
      </c>
      <c r="D115" s="22"/>
      <c r="E115" s="23"/>
      <c r="F115" s="22"/>
      <c r="G115" s="23"/>
      <c r="H115" s="20">
        <f t="shared" si="3"/>
        <v>0</v>
      </c>
    </row>
    <row r="116" spans="1:8" x14ac:dyDescent="0.25">
      <c r="A116" s="21" t="s">
        <v>28</v>
      </c>
      <c r="B116" s="22"/>
      <c r="C116" s="74">
        <f>C100*2%</f>
        <v>0</v>
      </c>
      <c r="D116" s="22"/>
      <c r="E116" s="23"/>
      <c r="F116" s="22"/>
      <c r="G116" s="23"/>
      <c r="H116" s="20">
        <f t="shared" si="3"/>
        <v>0</v>
      </c>
    </row>
    <row r="117" spans="1:8" x14ac:dyDescent="0.25">
      <c r="A117" s="21" t="s">
        <v>29</v>
      </c>
      <c r="B117" s="22"/>
      <c r="C117" s="74">
        <f>C100*1.924*4</f>
        <v>0</v>
      </c>
      <c r="D117" s="22"/>
      <c r="E117" s="23"/>
      <c r="F117" s="22"/>
      <c r="G117" s="23"/>
      <c r="H117" s="20">
        <f t="shared" si="3"/>
        <v>0</v>
      </c>
    </row>
    <row r="118" spans="1:8" x14ac:dyDescent="0.25">
      <c r="A118" s="21" t="s">
        <v>30</v>
      </c>
      <c r="B118" s="22"/>
      <c r="C118" s="78">
        <f>(C100/360*1.924)*30</f>
        <v>0</v>
      </c>
      <c r="D118" s="22"/>
      <c r="E118" s="23"/>
      <c r="F118" s="22"/>
      <c r="G118" s="23"/>
      <c r="H118" s="20">
        <f t="shared" si="3"/>
        <v>0</v>
      </c>
    </row>
    <row r="119" spans="1:8" x14ac:dyDescent="0.25">
      <c r="A119" s="21" t="s">
        <v>31</v>
      </c>
      <c r="B119" s="22"/>
      <c r="C119" s="73">
        <v>0</v>
      </c>
      <c r="D119" s="22"/>
      <c r="E119" s="23"/>
      <c r="F119" s="22"/>
      <c r="G119" s="23"/>
      <c r="H119" s="20">
        <f t="shared" si="3"/>
        <v>0</v>
      </c>
    </row>
    <row r="120" spans="1:8" x14ac:dyDescent="0.25">
      <c r="A120" s="21" t="s">
        <v>32</v>
      </c>
      <c r="B120" s="22"/>
      <c r="C120" s="73">
        <v>0</v>
      </c>
      <c r="D120" s="22"/>
      <c r="E120" s="23"/>
      <c r="F120" s="22"/>
      <c r="G120" s="23"/>
      <c r="H120" s="20">
        <f t="shared" si="3"/>
        <v>0</v>
      </c>
    </row>
    <row r="121" spans="1:8" ht="15.75" thickBot="1" x14ac:dyDescent="0.3">
      <c r="A121" s="21" t="s">
        <v>33</v>
      </c>
      <c r="B121" s="22"/>
      <c r="C121" s="73">
        <v>0</v>
      </c>
      <c r="D121" s="22"/>
      <c r="E121" s="23"/>
      <c r="F121" s="22"/>
      <c r="G121" s="23"/>
      <c r="H121" s="20">
        <f t="shared" si="3"/>
        <v>0</v>
      </c>
    </row>
    <row r="122" spans="1:8" ht="15.75" thickBot="1" x14ac:dyDescent="0.3">
      <c r="A122" s="26" t="s">
        <v>52</v>
      </c>
      <c r="B122" s="18"/>
      <c r="C122" s="74">
        <f>SUM(C123:C139)</f>
        <v>33569077049.450001</v>
      </c>
      <c r="D122" s="18"/>
      <c r="E122" s="19"/>
      <c r="F122" s="18"/>
      <c r="G122" s="19"/>
      <c r="H122" s="20">
        <f t="shared" si="3"/>
        <v>90727235.268783793</v>
      </c>
    </row>
    <row r="123" spans="1:8" x14ac:dyDescent="0.25">
      <c r="A123" s="43" t="s">
        <v>103</v>
      </c>
      <c r="B123" s="22"/>
      <c r="C123" s="73">
        <v>0</v>
      </c>
      <c r="D123" s="22"/>
      <c r="E123" s="23"/>
      <c r="F123" s="22"/>
      <c r="G123" s="23"/>
      <c r="H123" s="20">
        <f t="shared" si="3"/>
        <v>0</v>
      </c>
    </row>
    <row r="124" spans="1:8" x14ac:dyDescent="0.25">
      <c r="A124" s="44" t="s">
        <v>53</v>
      </c>
      <c r="B124" s="22"/>
      <c r="C124" s="73">
        <v>0</v>
      </c>
      <c r="D124" s="22"/>
      <c r="E124" s="23"/>
      <c r="F124" s="22"/>
      <c r="G124" s="23"/>
      <c r="H124" s="20">
        <f t="shared" si="3"/>
        <v>0</v>
      </c>
    </row>
    <row r="125" spans="1:8" x14ac:dyDescent="0.25">
      <c r="A125" s="21" t="s">
        <v>12</v>
      </c>
      <c r="B125" s="22"/>
      <c r="C125" s="73">
        <v>10731743944.290001</v>
      </c>
      <c r="D125" s="22"/>
      <c r="E125" s="23"/>
      <c r="F125" s="22"/>
      <c r="G125" s="23"/>
      <c r="H125" s="20">
        <f t="shared" si="3"/>
        <v>29004713.362945948</v>
      </c>
    </row>
    <row r="126" spans="1:8" x14ac:dyDescent="0.25">
      <c r="A126" s="21" t="s">
        <v>13</v>
      </c>
      <c r="B126" s="22"/>
      <c r="C126" s="73">
        <v>9017465278.7000008</v>
      </c>
      <c r="D126" s="22"/>
      <c r="E126" s="23"/>
      <c r="F126" s="22"/>
      <c r="G126" s="23"/>
      <c r="H126" s="20">
        <f t="shared" si="3"/>
        <v>24371527.780270271</v>
      </c>
    </row>
    <row r="127" spans="1:8" x14ac:dyDescent="0.25">
      <c r="A127" s="45" t="s">
        <v>54</v>
      </c>
      <c r="B127" s="22"/>
      <c r="C127" s="73">
        <v>1762243736</v>
      </c>
      <c r="D127" s="22"/>
      <c r="E127" s="23"/>
      <c r="F127" s="22"/>
      <c r="G127" s="23"/>
      <c r="H127" s="20">
        <f t="shared" si="3"/>
        <v>4762820.9081081077</v>
      </c>
    </row>
    <row r="128" spans="1:8" x14ac:dyDescent="0.25">
      <c r="A128" s="44" t="s">
        <v>55</v>
      </c>
      <c r="B128" s="22"/>
      <c r="C128" s="73">
        <v>288367156.80000001</v>
      </c>
      <c r="D128" s="22"/>
      <c r="E128" s="23"/>
      <c r="F128" s="22"/>
      <c r="G128" s="23"/>
      <c r="H128" s="20">
        <f t="shared" si="3"/>
        <v>779370.6940540541</v>
      </c>
    </row>
    <row r="129" spans="1:8" x14ac:dyDescent="0.25">
      <c r="A129" s="46" t="s">
        <v>56</v>
      </c>
      <c r="B129" s="22"/>
      <c r="C129" s="73">
        <v>1602039760</v>
      </c>
      <c r="D129" s="22"/>
      <c r="E129" s="23"/>
      <c r="F129" s="22"/>
      <c r="G129" s="23"/>
      <c r="H129" s="20">
        <f t="shared" si="3"/>
        <v>4329837.1891891891</v>
      </c>
    </row>
    <row r="130" spans="1:8" x14ac:dyDescent="0.25">
      <c r="A130" s="46" t="s">
        <v>57</v>
      </c>
      <c r="B130" s="22"/>
      <c r="C130" s="73">
        <v>1602039760</v>
      </c>
      <c r="D130" s="22"/>
      <c r="E130" s="23"/>
      <c r="F130" s="22"/>
      <c r="G130" s="23"/>
      <c r="H130" s="20">
        <f t="shared" si="3"/>
        <v>4329837.1891891891</v>
      </c>
    </row>
    <row r="131" spans="1:8" x14ac:dyDescent="0.25">
      <c r="A131" s="44" t="s">
        <v>58</v>
      </c>
      <c r="B131" s="22"/>
      <c r="C131" s="73">
        <v>1441835784</v>
      </c>
      <c r="D131" s="22"/>
      <c r="E131" s="23"/>
      <c r="F131" s="22"/>
      <c r="G131" s="23"/>
      <c r="H131" s="20">
        <f t="shared" si="3"/>
        <v>3896853.4702702705</v>
      </c>
    </row>
    <row r="132" spans="1:8" x14ac:dyDescent="0.25">
      <c r="A132" s="44" t="s">
        <v>59</v>
      </c>
      <c r="B132" s="22"/>
      <c r="C132" s="73">
        <v>1441835784</v>
      </c>
      <c r="D132" s="22"/>
      <c r="E132" s="23"/>
      <c r="F132" s="22"/>
      <c r="G132" s="23"/>
      <c r="H132" s="20">
        <f t="shared" si="3"/>
        <v>3896853.4702702705</v>
      </c>
    </row>
    <row r="133" spans="1:8" x14ac:dyDescent="0.25">
      <c r="A133" s="44" t="s">
        <v>60</v>
      </c>
      <c r="B133" s="22"/>
      <c r="C133" s="73">
        <v>1762243736</v>
      </c>
      <c r="D133" s="22"/>
      <c r="E133" s="23"/>
      <c r="F133" s="22"/>
      <c r="G133" s="23"/>
      <c r="H133" s="20">
        <f t="shared" si="3"/>
        <v>4762820.9081081077</v>
      </c>
    </row>
    <row r="134" spans="1:8" x14ac:dyDescent="0.25">
      <c r="A134" s="44" t="s">
        <v>61</v>
      </c>
      <c r="B134" s="22"/>
      <c r="C134" s="73">
        <v>0</v>
      </c>
      <c r="D134" s="22"/>
      <c r="E134" s="23"/>
      <c r="F134" s="22"/>
      <c r="G134" s="23"/>
      <c r="H134" s="20">
        <f t="shared" si="3"/>
        <v>0</v>
      </c>
    </row>
    <row r="135" spans="1:8" x14ac:dyDescent="0.25">
      <c r="A135" s="46" t="s">
        <v>62</v>
      </c>
      <c r="B135" s="22"/>
      <c r="C135" s="73">
        <v>1602039760</v>
      </c>
      <c r="D135" s="22"/>
      <c r="E135" s="23"/>
      <c r="F135" s="22"/>
      <c r="G135" s="23"/>
      <c r="H135" s="20">
        <f t="shared" si="3"/>
        <v>4329837.1891891891</v>
      </c>
    </row>
    <row r="136" spans="1:8" x14ac:dyDescent="0.25">
      <c r="A136" s="46" t="s">
        <v>63</v>
      </c>
      <c r="B136" s="22"/>
      <c r="C136" s="73">
        <v>112142783.2</v>
      </c>
      <c r="D136" s="22"/>
      <c r="E136" s="23"/>
      <c r="F136" s="22"/>
      <c r="G136" s="23"/>
      <c r="H136" s="20">
        <f t="shared" si="3"/>
        <v>303088.60324324324</v>
      </c>
    </row>
    <row r="137" spans="1:8" x14ac:dyDescent="0.25">
      <c r="A137" s="71" t="s">
        <v>108</v>
      </c>
      <c r="B137" s="22"/>
      <c r="C137" s="73">
        <v>592754711.20000005</v>
      </c>
      <c r="D137" s="22"/>
      <c r="E137" s="23"/>
      <c r="F137" s="22"/>
      <c r="G137" s="23"/>
      <c r="H137" s="20">
        <f t="shared" si="3"/>
        <v>1602039.7600000002</v>
      </c>
    </row>
    <row r="138" spans="1:8" x14ac:dyDescent="0.25">
      <c r="A138" s="89" t="s">
        <v>91</v>
      </c>
      <c r="B138" s="22"/>
      <c r="C138" s="73">
        <v>0</v>
      </c>
      <c r="D138" s="22"/>
      <c r="E138" s="23"/>
      <c r="F138" s="22"/>
      <c r="G138" s="23"/>
      <c r="H138" s="20">
        <f t="shared" si="3"/>
        <v>0</v>
      </c>
    </row>
    <row r="139" spans="1:8" ht="15.75" thickBot="1" x14ac:dyDescent="0.3">
      <c r="A139" s="45" t="s">
        <v>65</v>
      </c>
      <c r="B139" s="22"/>
      <c r="C139" s="73">
        <v>1612324855.26</v>
      </c>
      <c r="D139" s="22"/>
      <c r="E139" s="23"/>
      <c r="F139" s="22"/>
      <c r="G139" s="23"/>
      <c r="H139" s="20">
        <f t="shared" si="3"/>
        <v>4357634.743945946</v>
      </c>
    </row>
    <row r="140" spans="1:8" ht="15.75" thickBot="1" x14ac:dyDescent="0.3">
      <c r="A140" s="39" t="s">
        <v>66</v>
      </c>
      <c r="B140" s="27">
        <v>3</v>
      </c>
      <c r="C140" s="75">
        <f>SUM(C143:C145)</f>
        <v>496440000</v>
      </c>
      <c r="D140" s="18"/>
      <c r="E140" s="19"/>
      <c r="F140" s="18"/>
      <c r="G140" s="19"/>
      <c r="H140" s="20">
        <f t="shared" si="3"/>
        <v>1341729.7297297297</v>
      </c>
    </row>
    <row r="141" spans="1:8" ht="15.75" thickBot="1" x14ac:dyDescent="0.3">
      <c r="A141" s="40" t="s">
        <v>67</v>
      </c>
      <c r="B141" s="22"/>
      <c r="C141" s="76"/>
      <c r="D141" s="22"/>
      <c r="E141" s="23"/>
      <c r="F141" s="22"/>
      <c r="G141" s="23"/>
      <c r="H141" s="29"/>
    </row>
    <row r="142" spans="1:8" ht="15.75" thickBot="1" x14ac:dyDescent="0.3">
      <c r="A142" s="40" t="s">
        <v>68</v>
      </c>
      <c r="B142" s="22"/>
      <c r="C142" s="76"/>
      <c r="D142" s="22"/>
      <c r="E142" s="23"/>
      <c r="F142" s="22"/>
      <c r="G142" s="23"/>
      <c r="H142" s="29"/>
    </row>
    <row r="143" spans="1:8" x14ac:dyDescent="0.25">
      <c r="A143" s="21" t="s">
        <v>17</v>
      </c>
      <c r="B143" s="22"/>
      <c r="C143" s="73">
        <v>329280000</v>
      </c>
      <c r="D143" s="22"/>
      <c r="E143" s="23"/>
      <c r="F143" s="22"/>
      <c r="G143" s="23"/>
      <c r="H143" s="20">
        <f t="shared" ref="H143:H178" si="4">IFERROR(C143/SUM($D$8:$G$8),0)</f>
        <v>889945.94594594592</v>
      </c>
    </row>
    <row r="144" spans="1:8" x14ac:dyDescent="0.25">
      <c r="A144" s="21" t="s">
        <v>69</v>
      </c>
      <c r="B144" s="22"/>
      <c r="C144" s="73">
        <v>167160000</v>
      </c>
      <c r="D144" s="22"/>
      <c r="E144" s="23"/>
      <c r="F144" s="22"/>
      <c r="G144" s="23"/>
      <c r="H144" s="20">
        <f t="shared" si="4"/>
        <v>451783.78378378379</v>
      </c>
    </row>
    <row r="145" spans="1:8" ht="15.75" thickBot="1" x14ac:dyDescent="0.3">
      <c r="A145" s="21" t="s">
        <v>19</v>
      </c>
      <c r="B145" s="22"/>
      <c r="C145" s="73">
        <v>0</v>
      </c>
      <c r="D145" s="22"/>
      <c r="E145" s="23"/>
      <c r="F145" s="22"/>
      <c r="G145" s="23"/>
      <c r="H145" s="20">
        <f t="shared" si="4"/>
        <v>0</v>
      </c>
    </row>
    <row r="146" spans="1:8" ht="15.75" thickBot="1" x14ac:dyDescent="0.3">
      <c r="A146" s="39" t="s">
        <v>70</v>
      </c>
      <c r="B146" s="31">
        <f>B140</f>
        <v>3</v>
      </c>
      <c r="C146" s="75">
        <f>SUM(C147:C162)</f>
        <v>8617443184.2185993</v>
      </c>
      <c r="D146" s="18"/>
      <c r="E146" s="19"/>
      <c r="F146" s="18"/>
      <c r="G146" s="19"/>
      <c r="H146" s="20">
        <f t="shared" si="4"/>
        <v>23290386.984374594</v>
      </c>
    </row>
    <row r="147" spans="1:8" x14ac:dyDescent="0.25">
      <c r="A147" s="21" t="s">
        <v>21</v>
      </c>
      <c r="B147" s="22"/>
      <c r="C147" s="73">
        <v>36750000</v>
      </c>
      <c r="D147" s="22"/>
      <c r="E147" s="23"/>
      <c r="F147" s="22"/>
      <c r="G147" s="23"/>
      <c r="H147" s="20">
        <f t="shared" si="4"/>
        <v>99324.32432432432</v>
      </c>
    </row>
    <row r="148" spans="1:8" x14ac:dyDescent="0.25">
      <c r="A148" s="21" t="s">
        <v>92</v>
      </c>
      <c r="B148" s="22"/>
      <c r="C148" s="73">
        <v>237720000</v>
      </c>
      <c r="D148" s="22"/>
      <c r="E148" s="23"/>
      <c r="F148" s="22"/>
      <c r="G148" s="23"/>
      <c r="H148" s="20">
        <f t="shared" si="4"/>
        <v>642486.48648648651</v>
      </c>
    </row>
    <row r="149" spans="1:8" x14ac:dyDescent="0.25">
      <c r="A149" s="21" t="s">
        <v>22</v>
      </c>
      <c r="B149" s="22"/>
      <c r="C149" s="73"/>
      <c r="D149" s="22"/>
      <c r="E149" s="23"/>
      <c r="F149" s="22"/>
      <c r="G149" s="23"/>
      <c r="H149" s="20">
        <f t="shared" si="4"/>
        <v>0</v>
      </c>
    </row>
    <row r="150" spans="1:8" x14ac:dyDescent="0.25">
      <c r="A150" s="21" t="s">
        <v>23</v>
      </c>
      <c r="B150" s="22"/>
      <c r="C150" s="74">
        <f>(C140/12)*3.04</f>
        <v>125764800</v>
      </c>
      <c r="D150" s="22"/>
      <c r="E150" s="23"/>
      <c r="F150" s="22"/>
      <c r="G150" s="23"/>
      <c r="H150" s="20">
        <f t="shared" si="4"/>
        <v>339904.86486486485</v>
      </c>
    </row>
    <row r="151" spans="1:8" x14ac:dyDescent="0.25">
      <c r="A151" s="21" t="s">
        <v>25</v>
      </c>
      <c r="B151" s="22"/>
      <c r="C151" s="78">
        <f>(C140/12)*5.77777778</f>
        <v>239026666.7586</v>
      </c>
      <c r="D151" s="22"/>
      <c r="E151" s="23"/>
      <c r="F151" s="22"/>
      <c r="G151" s="23"/>
      <c r="H151" s="20">
        <f t="shared" si="4"/>
        <v>646018.01826648647</v>
      </c>
    </row>
    <row r="152" spans="1:8" x14ac:dyDescent="0.25">
      <c r="A152" s="21" t="s">
        <v>93</v>
      </c>
      <c r="B152" s="22"/>
      <c r="C152" s="78">
        <f>(C140/12)*4.028</f>
        <v>166638359.99999997</v>
      </c>
      <c r="D152" s="22"/>
      <c r="E152" s="23"/>
      <c r="F152" s="22"/>
      <c r="G152" s="23"/>
      <c r="H152" s="20">
        <f t="shared" si="4"/>
        <v>450373.94594594586</v>
      </c>
    </row>
    <row r="153" spans="1:8" x14ac:dyDescent="0.25">
      <c r="A153" s="21" t="s">
        <v>94</v>
      </c>
      <c r="B153" s="22"/>
      <c r="C153" s="78">
        <f>(C140/360)*4.401926*90</f>
        <v>546323035.8599999</v>
      </c>
      <c r="D153" s="22"/>
      <c r="E153" s="23"/>
      <c r="F153" s="22"/>
      <c r="G153" s="23"/>
      <c r="H153" s="20">
        <f t="shared" si="4"/>
        <v>1476548.7455675672</v>
      </c>
    </row>
    <row r="154" spans="1:8" x14ac:dyDescent="0.25">
      <c r="A154" s="21" t="s">
        <v>26</v>
      </c>
      <c r="B154" s="22"/>
      <c r="C154" s="81">
        <f>(C140*4.5%)*11/4.5</f>
        <v>54608400</v>
      </c>
      <c r="D154" s="22"/>
      <c r="E154" s="23"/>
      <c r="F154" s="22"/>
      <c r="G154" s="23"/>
      <c r="H154" s="20">
        <f t="shared" si="4"/>
        <v>147590.27027027027</v>
      </c>
    </row>
    <row r="155" spans="1:8" x14ac:dyDescent="0.25">
      <c r="A155" s="21" t="s">
        <v>27</v>
      </c>
      <c r="B155" s="22"/>
      <c r="C155" s="82">
        <f>C140*1.924*2%</f>
        <v>19103011.199999999</v>
      </c>
      <c r="D155" s="22"/>
      <c r="E155" s="23"/>
      <c r="F155" s="22"/>
      <c r="G155" s="23"/>
      <c r="H155" s="20">
        <f t="shared" si="4"/>
        <v>51629.759999999995</v>
      </c>
    </row>
    <row r="156" spans="1:8" x14ac:dyDescent="0.25">
      <c r="A156" s="21" t="s">
        <v>28</v>
      </c>
      <c r="B156" s="22"/>
      <c r="C156" s="74">
        <f>C140*2%</f>
        <v>9928800</v>
      </c>
      <c r="D156" s="22"/>
      <c r="E156" s="23"/>
      <c r="F156" s="22"/>
      <c r="G156" s="23"/>
      <c r="H156" s="20">
        <f t="shared" si="4"/>
        <v>26834.594594594593</v>
      </c>
    </row>
    <row r="157" spans="1:8" x14ac:dyDescent="0.25">
      <c r="A157" s="21" t="s">
        <v>29</v>
      </c>
      <c r="B157" s="22"/>
      <c r="C157" s="74">
        <f>C140*1.924*4</f>
        <v>3820602240</v>
      </c>
      <c r="D157" s="22"/>
      <c r="E157" s="23"/>
      <c r="F157" s="22"/>
      <c r="G157" s="23"/>
      <c r="H157" s="20">
        <f t="shared" si="4"/>
        <v>10325952</v>
      </c>
    </row>
    <row r="158" spans="1:8" x14ac:dyDescent="0.25">
      <c r="A158" s="21" t="s">
        <v>30</v>
      </c>
      <c r="B158" s="22"/>
      <c r="C158" s="78">
        <f>(C140/12*1.924)*30</f>
        <v>2387876400</v>
      </c>
      <c r="D158" s="22"/>
      <c r="E158" s="23"/>
      <c r="F158" s="22"/>
      <c r="G158" s="23"/>
      <c r="H158" s="20">
        <f t="shared" si="4"/>
        <v>6453720</v>
      </c>
    </row>
    <row r="159" spans="1:8" x14ac:dyDescent="0.25">
      <c r="A159" s="21" t="s">
        <v>31</v>
      </c>
      <c r="B159" s="22"/>
      <c r="C159" s="73">
        <v>108000000</v>
      </c>
      <c r="D159" s="22"/>
      <c r="E159" s="23"/>
      <c r="F159" s="22"/>
      <c r="G159" s="23"/>
      <c r="H159" s="20">
        <f t="shared" si="4"/>
        <v>291891.89189189189</v>
      </c>
    </row>
    <row r="160" spans="1:8" x14ac:dyDescent="0.25">
      <c r="A160" s="21" t="s">
        <v>32</v>
      </c>
      <c r="B160" s="22"/>
      <c r="C160" s="73">
        <v>0</v>
      </c>
      <c r="D160" s="22"/>
      <c r="E160" s="23"/>
      <c r="F160" s="22"/>
      <c r="G160" s="23"/>
      <c r="H160" s="20">
        <f t="shared" si="4"/>
        <v>0</v>
      </c>
    </row>
    <row r="161" spans="1:8" x14ac:dyDescent="0.25">
      <c r="A161" s="88" t="s">
        <v>64</v>
      </c>
      <c r="B161" s="22"/>
      <c r="C161" s="73">
        <v>736938289.60000002</v>
      </c>
      <c r="D161" s="22"/>
      <c r="E161" s="23"/>
      <c r="F161" s="22"/>
      <c r="G161" s="23"/>
      <c r="H161" s="20">
        <f>IFERROR(C161/SUM($D$8:$G$8),0)</f>
        <v>1991725.1070270271</v>
      </c>
    </row>
    <row r="162" spans="1:8" ht="15.75" thickBot="1" x14ac:dyDescent="0.3">
      <c r="A162" s="21" t="s">
        <v>33</v>
      </c>
      <c r="B162" s="22"/>
      <c r="C162" s="73">
        <v>128163180.8</v>
      </c>
      <c r="D162" s="22"/>
      <c r="E162" s="23"/>
      <c r="F162" s="22"/>
      <c r="G162" s="23"/>
      <c r="H162" s="20">
        <f t="shared" si="4"/>
        <v>346386.97513513512</v>
      </c>
    </row>
    <row r="163" spans="1:8" ht="15.75" thickBot="1" x14ac:dyDescent="0.3">
      <c r="A163" s="41" t="s">
        <v>71</v>
      </c>
      <c r="B163" s="18"/>
      <c r="C163" s="83">
        <f>SUM(C164:C167)</f>
        <v>46138745088</v>
      </c>
      <c r="D163" s="18"/>
      <c r="E163" s="19"/>
      <c r="F163" s="18"/>
      <c r="G163" s="19"/>
      <c r="H163" s="20">
        <f t="shared" si="4"/>
        <v>124699311.04864866</v>
      </c>
    </row>
    <row r="164" spans="1:8" x14ac:dyDescent="0.25">
      <c r="A164" s="21" t="s">
        <v>72</v>
      </c>
      <c r="B164" s="22"/>
      <c r="C164" s="73">
        <v>0</v>
      </c>
      <c r="D164" s="22"/>
      <c r="E164" s="23"/>
      <c r="F164" s="22"/>
      <c r="G164" s="23"/>
      <c r="H164" s="20">
        <f t="shared" si="4"/>
        <v>0</v>
      </c>
    </row>
    <row r="165" spans="1:8" x14ac:dyDescent="0.25">
      <c r="A165" s="21" t="s">
        <v>73</v>
      </c>
      <c r="B165" s="22"/>
      <c r="C165" s="73">
        <v>0</v>
      </c>
      <c r="D165" s="22"/>
      <c r="E165" s="23"/>
      <c r="F165" s="22"/>
      <c r="G165" s="23"/>
      <c r="H165" s="20">
        <f t="shared" si="4"/>
        <v>0</v>
      </c>
    </row>
    <row r="166" spans="1:8" x14ac:dyDescent="0.25">
      <c r="A166" s="21" t="s">
        <v>74</v>
      </c>
      <c r="B166" s="22"/>
      <c r="C166" s="73">
        <v>0</v>
      </c>
      <c r="D166" s="22"/>
      <c r="E166" s="23"/>
      <c r="F166" s="22"/>
      <c r="G166" s="23"/>
      <c r="H166" s="20">
        <f t="shared" si="4"/>
        <v>0</v>
      </c>
    </row>
    <row r="167" spans="1:8" ht="15.75" thickBot="1" x14ac:dyDescent="0.3">
      <c r="A167" s="24" t="s">
        <v>75</v>
      </c>
      <c r="B167" s="22"/>
      <c r="C167" s="100">
        <v>46138745088</v>
      </c>
      <c r="D167" s="22"/>
      <c r="E167" s="23"/>
      <c r="F167" s="22"/>
      <c r="G167" s="23"/>
      <c r="H167" s="20">
        <f t="shared" si="4"/>
        <v>124699311.04864866</v>
      </c>
    </row>
    <row r="168" spans="1:8" ht="15.75" thickBot="1" x14ac:dyDescent="0.3">
      <c r="A168" s="48" t="s">
        <v>76</v>
      </c>
      <c r="B168" s="18"/>
      <c r="C168" s="83">
        <f>SUM(C169:C172)</f>
        <v>2563263616</v>
      </c>
      <c r="D168" s="18"/>
      <c r="E168" s="19"/>
      <c r="F168" s="18"/>
      <c r="G168" s="19"/>
      <c r="H168" s="20">
        <f t="shared" si="4"/>
        <v>6927739.5027027028</v>
      </c>
    </row>
    <row r="169" spans="1:8" x14ac:dyDescent="0.25">
      <c r="A169" s="21" t="s">
        <v>77</v>
      </c>
      <c r="B169" s="22"/>
      <c r="C169" s="73">
        <v>1602039760</v>
      </c>
      <c r="D169" s="22"/>
      <c r="E169" s="23"/>
      <c r="F169" s="22"/>
      <c r="G169" s="23"/>
      <c r="H169" s="20">
        <f t="shared" si="4"/>
        <v>4329837.1891891891</v>
      </c>
    </row>
    <row r="170" spans="1:8" x14ac:dyDescent="0.25">
      <c r="A170" s="46" t="s">
        <v>78</v>
      </c>
      <c r="B170" s="22"/>
      <c r="C170" s="73">
        <v>0</v>
      </c>
      <c r="D170" s="22"/>
      <c r="E170" s="23"/>
      <c r="F170" s="22"/>
      <c r="G170" s="23"/>
      <c r="H170" s="20">
        <f t="shared" si="4"/>
        <v>0</v>
      </c>
    </row>
    <row r="171" spans="1:8" x14ac:dyDescent="0.25">
      <c r="A171" s="46" t="s">
        <v>79</v>
      </c>
      <c r="B171" s="22"/>
      <c r="C171" s="73"/>
      <c r="D171" s="22"/>
      <c r="E171" s="23"/>
      <c r="F171" s="22"/>
      <c r="G171" s="23"/>
      <c r="H171" s="20">
        <f t="shared" si="4"/>
        <v>0</v>
      </c>
    </row>
    <row r="172" spans="1:8" ht="15.75" thickBot="1" x14ac:dyDescent="0.3">
      <c r="A172" s="46" t="s">
        <v>80</v>
      </c>
      <c r="B172" s="22"/>
      <c r="C172" s="73">
        <v>961223856</v>
      </c>
      <c r="D172" s="22"/>
      <c r="E172" s="23"/>
      <c r="F172" s="22"/>
      <c r="G172" s="23"/>
      <c r="H172" s="20">
        <f t="shared" si="4"/>
        <v>2597902.3135135137</v>
      </c>
    </row>
    <row r="173" spans="1:8" ht="18.75" x14ac:dyDescent="0.3">
      <c r="A173" s="47" t="s">
        <v>81</v>
      </c>
      <c r="B173" s="22"/>
      <c r="C173" s="74">
        <f>C168</f>
        <v>2563263616</v>
      </c>
      <c r="D173" s="22"/>
      <c r="E173" s="23"/>
      <c r="F173" s="22"/>
      <c r="G173" s="23"/>
      <c r="H173" s="20">
        <f t="shared" si="4"/>
        <v>6927739.5027027028</v>
      </c>
    </row>
    <row r="174" spans="1:8" x14ac:dyDescent="0.25">
      <c r="A174" s="49" t="s">
        <v>82</v>
      </c>
      <c r="B174" s="22"/>
      <c r="C174" s="92">
        <f>C12+C17+C33+C39+C57+C61+C79+C84+C100+C106+C140+C146</f>
        <v>68820840668.572952</v>
      </c>
      <c r="D174" s="22"/>
      <c r="E174" s="23"/>
      <c r="F174" s="22"/>
      <c r="G174" s="23"/>
      <c r="H174" s="50">
        <f t="shared" si="4"/>
        <v>186002272.0772242</v>
      </c>
    </row>
    <row r="175" spans="1:8" x14ac:dyDescent="0.25">
      <c r="A175" s="51" t="s">
        <v>102</v>
      </c>
      <c r="B175" s="22"/>
      <c r="C175" s="84">
        <f>(C9+C122+C163)</f>
        <v>84444893503.790009</v>
      </c>
      <c r="D175" s="22"/>
      <c r="E175" s="23"/>
      <c r="F175" s="22"/>
      <c r="G175" s="23"/>
      <c r="H175" s="20">
        <f t="shared" si="4"/>
        <v>228229441.90213516</v>
      </c>
    </row>
    <row r="176" spans="1:8" ht="15.75" thickBot="1" x14ac:dyDescent="0.3">
      <c r="A176" s="52" t="s">
        <v>83</v>
      </c>
      <c r="B176" s="53"/>
      <c r="C176" s="85">
        <f>C174+C175+  C168</f>
        <v>155828997788.36298</v>
      </c>
      <c r="D176" s="22"/>
      <c r="E176" s="23"/>
      <c r="F176" s="22"/>
      <c r="G176" s="23"/>
      <c r="H176" s="50">
        <f t="shared" si="4"/>
        <v>421159453.4820621</v>
      </c>
    </row>
    <row r="177" spans="1:8" x14ac:dyDescent="0.25">
      <c r="A177" s="54" t="s">
        <v>104</v>
      </c>
      <c r="B177" s="53"/>
      <c r="C177" s="56">
        <f>C175</f>
        <v>84444893503.790009</v>
      </c>
      <c r="D177" s="22"/>
      <c r="E177" s="23"/>
      <c r="F177" s="22"/>
      <c r="G177" s="23"/>
      <c r="H177" s="50">
        <f t="shared" si="4"/>
        <v>228229441.90213516</v>
      </c>
    </row>
    <row r="178" spans="1:8" ht="15.75" thickBot="1" x14ac:dyDescent="0.3">
      <c r="A178" s="55" t="s">
        <v>105</v>
      </c>
      <c r="B178" s="53"/>
      <c r="C178" s="93">
        <f>C174+C177</f>
        <v>153265734172.36298</v>
      </c>
      <c r="D178" s="22"/>
      <c r="E178" s="23"/>
      <c r="F178" s="22"/>
      <c r="G178" s="23"/>
      <c r="H178" s="50">
        <f t="shared" si="4"/>
        <v>414231713.97935939</v>
      </c>
    </row>
    <row r="179" spans="1:8" ht="15.75" thickBot="1" x14ac:dyDescent="0.3">
      <c r="A179" s="57" t="s">
        <v>89</v>
      </c>
      <c r="B179" s="53"/>
      <c r="C179" s="58">
        <f>IFERROR(C178/SUM($D$8:$G$8),0)/12</f>
        <v>34519309.498279952</v>
      </c>
      <c r="D179" s="59"/>
      <c r="E179" s="60"/>
      <c r="F179" s="60"/>
      <c r="G179" s="60"/>
      <c r="H179" s="61"/>
    </row>
    <row r="180" spans="1:8" x14ac:dyDescent="0.25">
      <c r="A180" s="62" t="s">
        <v>84</v>
      </c>
      <c r="B180" s="63"/>
      <c r="C180" s="86">
        <f>C174</f>
        <v>68820840668.572952</v>
      </c>
      <c r="D180" s="64"/>
      <c r="E180" s="64"/>
      <c r="F180" s="64"/>
      <c r="G180" s="64"/>
      <c r="H180" s="65"/>
    </row>
    <row r="181" spans="1:8" x14ac:dyDescent="0.25">
      <c r="A181" s="66" t="s">
        <v>85</v>
      </c>
      <c r="B181" s="67"/>
      <c r="C181" s="58">
        <f>C178-C180</f>
        <v>84444893503.790024</v>
      </c>
      <c r="D181" s="64"/>
      <c r="E181" s="64"/>
      <c r="F181" s="64"/>
      <c r="G181" s="64"/>
      <c r="H181" s="65"/>
    </row>
    <row r="182" spans="1:8" ht="30.75" thickBot="1" x14ac:dyDescent="0.3">
      <c r="A182" s="66" t="s">
        <v>86</v>
      </c>
      <c r="B182" s="67"/>
      <c r="C182" s="58">
        <f>C181/12</f>
        <v>7037074458.649169</v>
      </c>
      <c r="D182" s="64"/>
      <c r="E182" s="64"/>
      <c r="F182" s="64"/>
      <c r="G182" s="64"/>
      <c r="H182" s="65"/>
    </row>
    <row r="183" spans="1:8" ht="45" x14ac:dyDescent="0.25">
      <c r="A183" s="66" t="s">
        <v>87</v>
      </c>
      <c r="B183" s="67"/>
      <c r="C183" s="58">
        <f>IFERROR(C182/SUM($D$8:$G$8),0)</f>
        <v>19019120.158511266</v>
      </c>
      <c r="D183" s="97" t="s">
        <v>100</v>
      </c>
      <c r="E183" s="98" t="s">
        <v>101</v>
      </c>
      <c r="F183" s="64"/>
      <c r="G183" s="64"/>
      <c r="H183" s="65"/>
    </row>
    <row r="184" spans="1:8" ht="30.75" thickBot="1" x14ac:dyDescent="0.3">
      <c r="A184" s="66" t="s">
        <v>88</v>
      </c>
      <c r="B184" s="67"/>
      <c r="C184" s="87">
        <f>C183</f>
        <v>19019120.158511266</v>
      </c>
      <c r="D184" s="101">
        <v>3204079.52</v>
      </c>
      <c r="E184" s="99">
        <f>C184/D184</f>
        <v>5.9359076576574061</v>
      </c>
      <c r="F184" s="64"/>
      <c r="G184" s="64"/>
      <c r="H184" s="65"/>
    </row>
    <row r="185" spans="1:8" x14ac:dyDescent="0.25">
      <c r="A185" s="68"/>
      <c r="B185" s="68"/>
      <c r="C185" s="64"/>
      <c r="D185" s="64"/>
      <c r="E185" s="64"/>
      <c r="F185" s="64"/>
      <c r="G185" s="64"/>
      <c r="H185" s="65"/>
    </row>
    <row r="186" spans="1:8" x14ac:dyDescent="0.25">
      <c r="A186" s="68"/>
      <c r="B186" s="68"/>
      <c r="C186" s="64"/>
      <c r="D186" s="64"/>
      <c r="E186" s="64"/>
      <c r="F186" s="64"/>
      <c r="G186" s="64"/>
      <c r="H186" s="65"/>
    </row>
    <row r="187" spans="1:8" x14ac:dyDescent="0.25">
      <c r="A187" s="68"/>
      <c r="B187" s="68"/>
      <c r="C187" s="95"/>
      <c r="D187" s="64"/>
      <c r="E187" s="96"/>
      <c r="F187" s="64"/>
      <c r="G187" s="64"/>
      <c r="H187" s="65"/>
    </row>
    <row r="188" spans="1:8" x14ac:dyDescent="0.25">
      <c r="A188" s="68"/>
      <c r="B188" s="68"/>
      <c r="C188" s="64"/>
      <c r="D188" s="64"/>
      <c r="E188" s="64"/>
      <c r="F188" s="64"/>
      <c r="G188" s="64"/>
      <c r="H188" s="65"/>
    </row>
    <row r="189" spans="1:8" x14ac:dyDescent="0.25">
      <c r="A189" s="68"/>
      <c r="B189" s="68"/>
      <c r="C189" s="64"/>
      <c r="D189" s="64"/>
      <c r="E189" s="64"/>
      <c r="F189" s="64"/>
      <c r="G189" s="64"/>
      <c r="H189" s="65"/>
    </row>
    <row r="190" spans="1:8" x14ac:dyDescent="0.25">
      <c r="A190" s="68"/>
      <c r="B190" s="68"/>
      <c r="C190" s="64"/>
      <c r="D190" s="64"/>
      <c r="E190" s="64"/>
      <c r="F190" s="64"/>
      <c r="G190" s="64"/>
      <c r="H190" s="65"/>
    </row>
    <row r="191" spans="1:8" x14ac:dyDescent="0.25">
      <c r="A191" s="69"/>
      <c r="B191" s="70"/>
    </row>
  </sheetData>
  <mergeCells count="4">
    <mergeCell ref="A3:H3"/>
    <mergeCell ref="A4:H4"/>
    <mergeCell ref="A6:C6"/>
    <mergeCell ref="D6:G6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Colmenares</dc:creator>
  <cp:lastModifiedBy>Secretaria2</cp:lastModifiedBy>
  <cp:lastPrinted>2021-07-05T15:19:37Z</cp:lastPrinted>
  <dcterms:created xsi:type="dcterms:W3CDTF">2018-10-11T18:59:53Z</dcterms:created>
  <dcterms:modified xsi:type="dcterms:W3CDTF">2021-07-14T15:18:07Z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